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1460" tabRatio="863" activeTab="5"/>
  </bookViews>
  <sheets>
    <sheet name="сводная 2025г" sheetId="48" r:id="rId1"/>
    <sheet name="сводная 2025г (2)" sheetId="49" r:id="rId2"/>
    <sheet name="1-2-3 день" sheetId="43" r:id="rId3"/>
    <sheet name="4-5-6 день" sheetId="47" r:id="rId4"/>
    <sheet name="7-8-9 день" sheetId="45" r:id="rId5"/>
    <sheet name="10-11-12 день" sheetId="46" r:id="rId6"/>
  </sheets>
  <definedNames>
    <definedName name="_xlnm.Print_Area" localSheetId="5">'10-11-12 день'!$A$1:$O$80</definedName>
    <definedName name="_xlnm.Print_Area" localSheetId="2">'1-2-3 день'!$A$1:$N$67</definedName>
    <definedName name="_xlnm.Print_Area" localSheetId="3">'4-5-6 день'!$A$3:$N$63</definedName>
    <definedName name="_xlnm.Print_Area" localSheetId="4">'7-8-9 день'!$A$1:$O$64</definedName>
    <definedName name="_xlnm.Print_Area" localSheetId="0">'сводная 2025г'!$A$1:$O$30</definedName>
    <definedName name="_xlnm.Print_Area" localSheetId="1">'сводная 2025г (2)'!$A$1:$O$30</definedName>
  </definedNames>
  <calcPr calcId="144525"/>
</workbook>
</file>

<file path=xl/calcChain.xml><?xml version="1.0" encoding="utf-8"?>
<calcChain xmlns="http://schemas.openxmlformats.org/spreadsheetml/2006/main">
  <c r="L37" i="45" l="1"/>
  <c r="K37" i="45"/>
  <c r="J37" i="45"/>
  <c r="I37" i="45"/>
  <c r="H37" i="45"/>
  <c r="N37" i="45" s="1"/>
  <c r="G37" i="45"/>
  <c r="M37" i="45" s="1"/>
  <c r="L24" i="47"/>
  <c r="K24" i="47"/>
  <c r="J24" i="47"/>
  <c r="I24" i="47"/>
  <c r="H24" i="47"/>
  <c r="N24" i="47" s="1"/>
  <c r="G24" i="47"/>
  <c r="M24" i="47" s="1"/>
  <c r="L48" i="43"/>
  <c r="K48" i="43"/>
  <c r="J48" i="43"/>
  <c r="I48" i="43"/>
  <c r="H48" i="43"/>
  <c r="G48" i="43"/>
  <c r="L22" i="46"/>
  <c r="K22" i="46"/>
  <c r="J22" i="46"/>
  <c r="N22" i="46" s="1"/>
  <c r="I22" i="46"/>
  <c r="H22" i="46"/>
  <c r="G22" i="46"/>
  <c r="M22" i="46" s="1"/>
  <c r="M48" i="43" l="1"/>
  <c r="N48" i="43"/>
  <c r="L49" i="46"/>
  <c r="K49" i="46"/>
  <c r="J49" i="46"/>
  <c r="I49" i="46"/>
  <c r="H49" i="46"/>
  <c r="N49" i="46" s="1"/>
  <c r="G49" i="46"/>
  <c r="M49" i="46" s="1"/>
  <c r="L48" i="46"/>
  <c r="K48" i="46"/>
  <c r="J48" i="46"/>
  <c r="I48" i="46"/>
  <c r="H48" i="46"/>
  <c r="N48" i="46" s="1"/>
  <c r="G48" i="46"/>
  <c r="M48" i="46" s="1"/>
  <c r="L47" i="46"/>
  <c r="K47" i="46"/>
  <c r="J47" i="46"/>
  <c r="I47" i="46"/>
  <c r="H47" i="46"/>
  <c r="N47" i="46" s="1"/>
  <c r="G47" i="46"/>
  <c r="M47" i="46" s="1"/>
  <c r="L30" i="46"/>
  <c r="K30" i="46"/>
  <c r="J30" i="46"/>
  <c r="I30" i="46"/>
  <c r="H30" i="46"/>
  <c r="N30" i="46" s="1"/>
  <c r="G30" i="46"/>
  <c r="M30" i="46" s="1"/>
  <c r="L29" i="46"/>
  <c r="K29" i="46"/>
  <c r="J29" i="46"/>
  <c r="I29" i="46"/>
  <c r="H29" i="46"/>
  <c r="N29" i="46" s="1"/>
  <c r="G29" i="46"/>
  <c r="M29" i="46" s="1"/>
  <c r="L28" i="46"/>
  <c r="K28" i="46"/>
  <c r="J28" i="46"/>
  <c r="I28" i="46"/>
  <c r="H28" i="46"/>
  <c r="N28" i="46" s="1"/>
  <c r="G28" i="46"/>
  <c r="M28" i="46" s="1"/>
  <c r="L11" i="46"/>
  <c r="K11" i="46"/>
  <c r="J11" i="46"/>
  <c r="I11" i="46"/>
  <c r="H11" i="46"/>
  <c r="N11" i="46" s="1"/>
  <c r="G11" i="46"/>
  <c r="M11" i="46" s="1"/>
  <c r="L10" i="46"/>
  <c r="K10" i="46"/>
  <c r="J10" i="46"/>
  <c r="I10" i="46"/>
  <c r="H10" i="46"/>
  <c r="N10" i="46" s="1"/>
  <c r="G10" i="46"/>
  <c r="M10" i="46" s="1"/>
  <c r="L9" i="46"/>
  <c r="K9" i="46"/>
  <c r="J9" i="46"/>
  <c r="I9" i="46"/>
  <c r="H9" i="46"/>
  <c r="N9" i="46" s="1"/>
  <c r="G9" i="46"/>
  <c r="M9" i="46" s="1"/>
  <c r="G45" i="45"/>
  <c r="L44" i="45"/>
  <c r="K44" i="45"/>
  <c r="J44" i="45"/>
  <c r="I44" i="45"/>
  <c r="H44" i="45"/>
  <c r="N44" i="45" s="1"/>
  <c r="G44" i="45"/>
  <c r="M44" i="45" s="1"/>
  <c r="L43" i="45"/>
  <c r="K43" i="45"/>
  <c r="J43" i="45"/>
  <c r="I43" i="45"/>
  <c r="H43" i="45"/>
  <c r="N43" i="45" s="1"/>
  <c r="G43" i="45"/>
  <c r="M43" i="45" s="1"/>
  <c r="L28" i="45"/>
  <c r="K28" i="45"/>
  <c r="J28" i="45"/>
  <c r="I28" i="45"/>
  <c r="H28" i="45"/>
  <c r="G28" i="45"/>
  <c r="L27" i="45"/>
  <c r="K27" i="45"/>
  <c r="J27" i="45"/>
  <c r="I27" i="45"/>
  <c r="H27" i="45"/>
  <c r="N27" i="45" s="1"/>
  <c r="G27" i="45"/>
  <c r="M27" i="45" s="1"/>
  <c r="L11" i="45"/>
  <c r="K11" i="45"/>
  <c r="J11" i="45"/>
  <c r="I11" i="45"/>
  <c r="H11" i="45"/>
  <c r="N11" i="45" s="1"/>
  <c r="G11" i="45"/>
  <c r="M11" i="45" s="1"/>
  <c r="L10" i="45"/>
  <c r="K10" i="45"/>
  <c r="J10" i="45"/>
  <c r="I10" i="45"/>
  <c r="H10" i="45"/>
  <c r="N10" i="45" s="1"/>
  <c r="G10" i="45"/>
  <c r="M10" i="45" s="1"/>
  <c r="L9" i="45"/>
  <c r="K9" i="45"/>
  <c r="J9" i="45"/>
  <c r="I9" i="45"/>
  <c r="H9" i="45"/>
  <c r="N9" i="45" s="1"/>
  <c r="G9" i="45"/>
  <c r="M9" i="45" s="1"/>
  <c r="L50" i="47"/>
  <c r="K50" i="47"/>
  <c r="J50" i="47"/>
  <c r="I50" i="47"/>
  <c r="H50" i="47"/>
  <c r="G50" i="47"/>
  <c r="L49" i="47"/>
  <c r="K49" i="47"/>
  <c r="J49" i="47"/>
  <c r="I49" i="47"/>
  <c r="H49" i="47"/>
  <c r="N49" i="47" s="1"/>
  <c r="G49" i="47"/>
  <c r="M49" i="47" s="1"/>
  <c r="L32" i="47"/>
  <c r="K32" i="47"/>
  <c r="J32" i="47"/>
  <c r="I32" i="47"/>
  <c r="H32" i="47"/>
  <c r="G32" i="47"/>
  <c r="L30" i="47"/>
  <c r="K30" i="47"/>
  <c r="J30" i="47"/>
  <c r="I30" i="47"/>
  <c r="H30" i="47"/>
  <c r="N30" i="47" s="1"/>
  <c r="G30" i="47"/>
  <c r="M30" i="47" s="1"/>
  <c r="L31" i="47"/>
  <c r="K31" i="47"/>
  <c r="J31" i="47"/>
  <c r="I31" i="47"/>
  <c r="H31" i="47"/>
  <c r="N31" i="47" s="1"/>
  <c r="G31" i="47"/>
  <c r="M31" i="47" s="1"/>
  <c r="L13" i="47"/>
  <c r="K13" i="47"/>
  <c r="J13" i="47"/>
  <c r="I13" i="47"/>
  <c r="H13" i="47"/>
  <c r="G13" i="47"/>
  <c r="L11" i="47"/>
  <c r="K11" i="47"/>
  <c r="J11" i="47"/>
  <c r="I11" i="47"/>
  <c r="H11" i="47"/>
  <c r="N11" i="47" s="1"/>
  <c r="G11" i="47"/>
  <c r="M11" i="47" s="1"/>
  <c r="L12" i="47"/>
  <c r="K12" i="47"/>
  <c r="J12" i="47"/>
  <c r="I12" i="47"/>
  <c r="H12" i="47"/>
  <c r="N12" i="47" s="1"/>
  <c r="G12" i="47"/>
  <c r="M12" i="47" s="1"/>
  <c r="L56" i="43"/>
  <c r="K56" i="43"/>
  <c r="J56" i="43"/>
  <c r="I56" i="43"/>
  <c r="H56" i="43"/>
  <c r="G56" i="43"/>
  <c r="L54" i="43"/>
  <c r="K54" i="43"/>
  <c r="J54" i="43"/>
  <c r="I54" i="43"/>
  <c r="H54" i="43"/>
  <c r="N54" i="43" s="1"/>
  <c r="G54" i="43"/>
  <c r="M54" i="43" s="1"/>
  <c r="L38" i="43"/>
  <c r="K38" i="43"/>
  <c r="J38" i="43"/>
  <c r="I38" i="43"/>
  <c r="H38" i="43"/>
  <c r="G38" i="43"/>
  <c r="L37" i="43"/>
  <c r="K37" i="43"/>
  <c r="J37" i="43"/>
  <c r="I37" i="43"/>
  <c r="H37" i="43"/>
  <c r="N37" i="43" s="1"/>
  <c r="G37" i="43"/>
  <c r="L20" i="43"/>
  <c r="K20" i="43"/>
  <c r="J20" i="43"/>
  <c r="I20" i="43"/>
  <c r="H20" i="43"/>
  <c r="G20" i="43"/>
  <c r="L18" i="43"/>
  <c r="K18" i="43"/>
  <c r="J18" i="43"/>
  <c r="I18" i="43"/>
  <c r="H18" i="43"/>
  <c r="N18" i="43" s="1"/>
  <c r="G18" i="43"/>
  <c r="L21" i="45"/>
  <c r="K21" i="45"/>
  <c r="J21" i="45"/>
  <c r="I21" i="45"/>
  <c r="H21" i="45"/>
  <c r="N21" i="45" s="1"/>
  <c r="G21" i="45"/>
  <c r="M21" i="45" s="1"/>
  <c r="L20" i="45"/>
  <c r="K20" i="45"/>
  <c r="J20" i="45"/>
  <c r="I20" i="45"/>
  <c r="H20" i="45"/>
  <c r="N20" i="45" s="1"/>
  <c r="G20" i="45"/>
  <c r="M20" i="45" s="1"/>
  <c r="L19" i="45"/>
  <c r="K19" i="45"/>
  <c r="J19" i="45"/>
  <c r="I19" i="45"/>
  <c r="H19" i="45"/>
  <c r="N19" i="45" s="1"/>
  <c r="G19" i="45"/>
  <c r="M19" i="45" s="1"/>
  <c r="L65" i="43"/>
  <c r="K65" i="43"/>
  <c r="J65" i="43"/>
  <c r="I65" i="43"/>
  <c r="H65" i="43"/>
  <c r="G65" i="43"/>
  <c r="M65" i="43" l="1"/>
  <c r="M20" i="43"/>
  <c r="M38" i="43"/>
  <c r="N65" i="43"/>
  <c r="M18" i="43"/>
  <c r="M37" i="43"/>
  <c r="N28" i="45"/>
  <c r="M28" i="45"/>
  <c r="N50" i="47"/>
  <c r="M50" i="47"/>
  <c r="N32" i="47"/>
  <c r="M32" i="47"/>
  <c r="N13" i="47"/>
  <c r="M13" i="47"/>
  <c r="N56" i="43"/>
  <c r="M56" i="43"/>
  <c r="N38" i="43"/>
  <c r="N20" i="43"/>
  <c r="L37" i="46" l="1"/>
  <c r="K37" i="46"/>
  <c r="J37" i="46"/>
  <c r="I37" i="46"/>
  <c r="H37" i="46"/>
  <c r="N37" i="46" s="1"/>
  <c r="G37" i="46"/>
  <c r="M37" i="46" s="1"/>
  <c r="L41" i="46"/>
  <c r="K41" i="46"/>
  <c r="J41" i="46"/>
  <c r="I41" i="46"/>
  <c r="H41" i="46"/>
  <c r="G41" i="46"/>
  <c r="M41" i="46" s="1"/>
  <c r="L40" i="46"/>
  <c r="K40" i="46"/>
  <c r="J40" i="46"/>
  <c r="I40" i="46"/>
  <c r="H40" i="46"/>
  <c r="G40" i="46"/>
  <c r="M40" i="46" s="1"/>
  <c r="G25" i="47"/>
  <c r="L23" i="47"/>
  <c r="K23" i="47"/>
  <c r="J23" i="47"/>
  <c r="I23" i="47"/>
  <c r="H23" i="47"/>
  <c r="G23" i="47"/>
  <c r="L43" i="43"/>
  <c r="K43" i="43"/>
  <c r="J43" i="43"/>
  <c r="I43" i="43"/>
  <c r="H43" i="43"/>
  <c r="G43" i="43"/>
  <c r="M43" i="43" s="1"/>
  <c r="L54" i="46"/>
  <c r="K54" i="46"/>
  <c r="J54" i="46"/>
  <c r="I54" i="46"/>
  <c r="H54" i="46"/>
  <c r="G54" i="46"/>
  <c r="M54" i="46" s="1"/>
  <c r="L39" i="47"/>
  <c r="K39" i="47"/>
  <c r="J39" i="47"/>
  <c r="I39" i="47"/>
  <c r="H39" i="47"/>
  <c r="N39" i="47" s="1"/>
  <c r="G39" i="47"/>
  <c r="M39" i="47" s="1"/>
  <c r="L64" i="43"/>
  <c r="K64" i="43"/>
  <c r="J64" i="43"/>
  <c r="I64" i="43"/>
  <c r="H64" i="43"/>
  <c r="G64" i="43"/>
  <c r="E66" i="43"/>
  <c r="L27" i="43"/>
  <c r="K27" i="43"/>
  <c r="J27" i="43"/>
  <c r="I27" i="43"/>
  <c r="H27" i="43"/>
  <c r="G27" i="43"/>
  <c r="L58" i="45"/>
  <c r="K58" i="45"/>
  <c r="J58" i="45"/>
  <c r="I58" i="45"/>
  <c r="H58" i="45"/>
  <c r="N58" i="45" s="1"/>
  <c r="G58" i="45"/>
  <c r="M58" i="45" s="1"/>
  <c r="L52" i="46"/>
  <c r="K52" i="46"/>
  <c r="J52" i="46"/>
  <c r="I52" i="46"/>
  <c r="H52" i="46"/>
  <c r="N52" i="46" s="1"/>
  <c r="G52" i="46"/>
  <c r="M64" i="43" l="1"/>
  <c r="N64" i="43"/>
  <c r="M52" i="46"/>
  <c r="N40" i="46"/>
  <c r="N41" i="46"/>
  <c r="M23" i="47"/>
  <c r="N23" i="47"/>
  <c r="N43" i="43"/>
  <c r="N54" i="46"/>
  <c r="N27" i="43"/>
  <c r="M27" i="43"/>
  <c r="L26" i="45"/>
  <c r="K26" i="45"/>
  <c r="J26" i="45"/>
  <c r="I26" i="45"/>
  <c r="H26" i="45"/>
  <c r="N26" i="45" s="1"/>
  <c r="G26" i="45"/>
  <c r="M26" i="45" s="1"/>
  <c r="L25" i="45"/>
  <c r="K25" i="45"/>
  <c r="J25" i="45"/>
  <c r="I25" i="45"/>
  <c r="H25" i="45"/>
  <c r="N25" i="45" s="1"/>
  <c r="G25" i="45"/>
  <c r="M25" i="45" s="1"/>
  <c r="L46" i="46"/>
  <c r="K46" i="46"/>
  <c r="J46" i="46"/>
  <c r="I46" i="46"/>
  <c r="H46" i="46"/>
  <c r="N46" i="46" s="1"/>
  <c r="G46" i="46"/>
  <c r="L45" i="46"/>
  <c r="K45" i="46"/>
  <c r="J45" i="46"/>
  <c r="I45" i="46"/>
  <c r="H45" i="46"/>
  <c r="G45" i="46"/>
  <c r="M45" i="46" s="1"/>
  <c r="L14" i="45"/>
  <c r="K14" i="45"/>
  <c r="J14" i="45"/>
  <c r="I14" i="45"/>
  <c r="H14" i="45"/>
  <c r="N14" i="45" s="1"/>
  <c r="G14" i="45"/>
  <c r="M14" i="45" s="1"/>
  <c r="L59" i="47"/>
  <c r="K59" i="47"/>
  <c r="J59" i="47"/>
  <c r="I59" i="47"/>
  <c r="H59" i="47"/>
  <c r="N59" i="47" s="1"/>
  <c r="G59" i="47"/>
  <c r="M59" i="47" s="1"/>
  <c r="L35" i="47"/>
  <c r="K35" i="47"/>
  <c r="J35" i="47"/>
  <c r="I35" i="47"/>
  <c r="H35" i="47"/>
  <c r="G35" i="47"/>
  <c r="L35" i="43"/>
  <c r="K35" i="43"/>
  <c r="J35" i="43"/>
  <c r="I35" i="43"/>
  <c r="H35" i="43"/>
  <c r="G35" i="43"/>
  <c r="L31" i="43"/>
  <c r="K31" i="43"/>
  <c r="J31" i="43"/>
  <c r="I31" i="43"/>
  <c r="H31" i="43"/>
  <c r="N31" i="43" s="1"/>
  <c r="G31" i="43"/>
  <c r="L23" i="43"/>
  <c r="K23" i="43"/>
  <c r="J23" i="43"/>
  <c r="I23" i="43"/>
  <c r="H23" i="43"/>
  <c r="G23" i="43"/>
  <c r="N35" i="43" l="1"/>
  <c r="N45" i="46"/>
  <c r="N23" i="43"/>
  <c r="M31" i="43"/>
  <c r="M35" i="43"/>
  <c r="M46" i="46"/>
  <c r="M35" i="47"/>
  <c r="N35" i="47"/>
  <c r="M23" i="43"/>
  <c r="F23" i="46" l="1"/>
  <c r="E23" i="46"/>
  <c r="L15" i="45"/>
  <c r="K15" i="45"/>
  <c r="J15" i="45"/>
  <c r="I15" i="45"/>
  <c r="H15" i="45"/>
  <c r="N15" i="45" s="1"/>
  <c r="G15" i="45"/>
  <c r="M15" i="45" s="1"/>
  <c r="E60" i="47"/>
  <c r="L43" i="47"/>
  <c r="K43" i="47"/>
  <c r="J43" i="47"/>
  <c r="I43" i="47"/>
  <c r="H43" i="47"/>
  <c r="G43" i="47"/>
  <c r="F44" i="47"/>
  <c r="E44" i="47"/>
  <c r="L41" i="43"/>
  <c r="K41" i="43"/>
  <c r="J41" i="43"/>
  <c r="I41" i="43"/>
  <c r="H41" i="43"/>
  <c r="G41" i="43"/>
  <c r="F32" i="43"/>
  <c r="E32" i="43"/>
  <c r="M41" i="43" l="1"/>
  <c r="N41" i="43"/>
  <c r="M43" i="47"/>
  <c r="N43" i="47"/>
  <c r="L36" i="43"/>
  <c r="K36" i="43"/>
  <c r="J36" i="43"/>
  <c r="I36" i="43"/>
  <c r="H36" i="43"/>
  <c r="G36" i="43"/>
  <c r="N36" i="43" l="1"/>
  <c r="M36" i="43"/>
  <c r="L59" i="46"/>
  <c r="K59" i="46"/>
  <c r="J59" i="46"/>
  <c r="I59" i="46"/>
  <c r="H59" i="46"/>
  <c r="N59" i="46" s="1"/>
  <c r="G59" i="46"/>
  <c r="M59" i="46" s="1"/>
  <c r="L56" i="46"/>
  <c r="K56" i="46"/>
  <c r="J56" i="46"/>
  <c r="I56" i="46"/>
  <c r="H56" i="46"/>
  <c r="G56" i="46"/>
  <c r="L55" i="46"/>
  <c r="K55" i="46"/>
  <c r="J55" i="46"/>
  <c r="I55" i="46"/>
  <c r="H55" i="46"/>
  <c r="N55" i="46" s="1"/>
  <c r="G55" i="46"/>
  <c r="M55" i="46" s="1"/>
  <c r="L53" i="46"/>
  <c r="K53" i="46"/>
  <c r="J53" i="46"/>
  <c r="I53" i="46"/>
  <c r="H53" i="46"/>
  <c r="G53" i="46"/>
  <c r="L33" i="46"/>
  <c r="K33" i="46"/>
  <c r="J33" i="46"/>
  <c r="I33" i="46"/>
  <c r="H33" i="46"/>
  <c r="G33" i="46"/>
  <c r="L38" i="46"/>
  <c r="K38" i="46"/>
  <c r="J38" i="46"/>
  <c r="I38" i="46"/>
  <c r="H38" i="46"/>
  <c r="N38" i="46" s="1"/>
  <c r="G38" i="46"/>
  <c r="M38" i="46" s="1"/>
  <c r="L36" i="46"/>
  <c r="K36" i="46"/>
  <c r="J36" i="46"/>
  <c r="I36" i="46"/>
  <c r="H36" i="46"/>
  <c r="G36" i="46"/>
  <c r="L35" i="46"/>
  <c r="K35" i="46"/>
  <c r="J35" i="46"/>
  <c r="I35" i="46"/>
  <c r="H35" i="46"/>
  <c r="N35" i="46" s="1"/>
  <c r="G35" i="46"/>
  <c r="M35" i="46" s="1"/>
  <c r="L34" i="46"/>
  <c r="K34" i="46"/>
  <c r="J34" i="46"/>
  <c r="I34" i="46"/>
  <c r="H34" i="46"/>
  <c r="G34" i="46"/>
  <c r="M36" i="46" l="1"/>
  <c r="M33" i="46"/>
  <c r="M53" i="46"/>
  <c r="M56" i="46"/>
  <c r="M34" i="46"/>
  <c r="N34" i="46"/>
  <c r="N36" i="46"/>
  <c r="N33" i="46"/>
  <c r="N53" i="46"/>
  <c r="N56" i="46"/>
  <c r="L27" i="46"/>
  <c r="K27" i="46"/>
  <c r="J27" i="46"/>
  <c r="I27" i="46"/>
  <c r="H27" i="46"/>
  <c r="G27" i="46"/>
  <c r="L26" i="46"/>
  <c r="K26" i="46"/>
  <c r="J26" i="46"/>
  <c r="I26" i="46"/>
  <c r="H26" i="46"/>
  <c r="N26" i="46" s="1"/>
  <c r="G26" i="46"/>
  <c r="L18" i="46"/>
  <c r="K18" i="46"/>
  <c r="J18" i="46"/>
  <c r="I18" i="46"/>
  <c r="H18" i="46"/>
  <c r="G18" i="46"/>
  <c r="M18" i="46" s="1"/>
  <c r="I8" i="46"/>
  <c r="J8" i="46"/>
  <c r="L15" i="46"/>
  <c r="K15" i="46"/>
  <c r="J15" i="46"/>
  <c r="I15" i="46"/>
  <c r="H15" i="46"/>
  <c r="G15" i="46"/>
  <c r="M15" i="46" s="1"/>
  <c r="L19" i="46"/>
  <c r="K19" i="46"/>
  <c r="J19" i="46"/>
  <c r="I19" i="46"/>
  <c r="H19" i="46"/>
  <c r="N19" i="46" s="1"/>
  <c r="G19" i="46"/>
  <c r="L14" i="46"/>
  <c r="K14" i="46"/>
  <c r="J14" i="46"/>
  <c r="I14" i="46"/>
  <c r="H14" i="46"/>
  <c r="G14" i="46"/>
  <c r="F60" i="46"/>
  <c r="E60" i="46"/>
  <c r="L58" i="46"/>
  <c r="K58" i="46"/>
  <c r="J58" i="46"/>
  <c r="I58" i="46"/>
  <c r="H58" i="46"/>
  <c r="G58" i="46"/>
  <c r="M58" i="46" s="1"/>
  <c r="L57" i="46"/>
  <c r="L60" i="46" s="1"/>
  <c r="K57" i="46"/>
  <c r="J57" i="46"/>
  <c r="I57" i="46"/>
  <c r="I60" i="46" s="1"/>
  <c r="H57" i="46"/>
  <c r="N57" i="46" s="1"/>
  <c r="G57" i="46"/>
  <c r="K60" i="46"/>
  <c r="J60" i="46"/>
  <c r="G60" i="46"/>
  <c r="F50" i="46"/>
  <c r="E50" i="46"/>
  <c r="L50" i="46"/>
  <c r="L61" i="46" s="1"/>
  <c r="I50" i="46"/>
  <c r="I61" i="46" s="1"/>
  <c r="K50" i="46"/>
  <c r="K61" i="46" s="1"/>
  <c r="J50" i="46"/>
  <c r="J61" i="46" s="1"/>
  <c r="G50" i="46"/>
  <c r="F42" i="46"/>
  <c r="E42" i="46"/>
  <c r="L39" i="46"/>
  <c r="K39" i="46"/>
  <c r="J39" i="46"/>
  <c r="J42" i="46" s="1"/>
  <c r="I39" i="46"/>
  <c r="I42" i="46" s="1"/>
  <c r="H39" i="46"/>
  <c r="G39" i="46"/>
  <c r="L42" i="46"/>
  <c r="K42" i="46"/>
  <c r="G42" i="46"/>
  <c r="F31" i="46"/>
  <c r="E31" i="46"/>
  <c r="L31" i="46"/>
  <c r="L50" i="45"/>
  <c r="K50" i="45"/>
  <c r="J50" i="45"/>
  <c r="I50" i="45"/>
  <c r="H50" i="45"/>
  <c r="N50" i="45" s="1"/>
  <c r="G50" i="45"/>
  <c r="M50" i="45" s="1"/>
  <c r="L49" i="45"/>
  <c r="K49" i="45"/>
  <c r="J49" i="45"/>
  <c r="I49" i="45"/>
  <c r="H49" i="45"/>
  <c r="N49" i="45" s="1"/>
  <c r="G49" i="45"/>
  <c r="M49" i="45" s="1"/>
  <c r="F55" i="45"/>
  <c r="E55" i="45"/>
  <c r="L54" i="45"/>
  <c r="K54" i="45"/>
  <c r="J54" i="45"/>
  <c r="I54" i="45"/>
  <c r="H54" i="45"/>
  <c r="N54" i="45" s="1"/>
  <c r="G54" i="45"/>
  <c r="M54" i="45" s="1"/>
  <c r="L53" i="45"/>
  <c r="K53" i="45"/>
  <c r="J53" i="45"/>
  <c r="I53" i="45"/>
  <c r="H53" i="45"/>
  <c r="N53" i="45" s="1"/>
  <c r="G53" i="45"/>
  <c r="M53" i="45" s="1"/>
  <c r="L52" i="45"/>
  <c r="K52" i="45"/>
  <c r="J52" i="45"/>
  <c r="I52" i="45"/>
  <c r="H52" i="45"/>
  <c r="G52" i="45"/>
  <c r="M52" i="45" s="1"/>
  <c r="L51" i="45"/>
  <c r="K51" i="45"/>
  <c r="J51" i="45"/>
  <c r="I51" i="45"/>
  <c r="H51" i="45"/>
  <c r="N51" i="45" s="1"/>
  <c r="G51" i="45"/>
  <c r="M51" i="45" s="1"/>
  <c r="L48" i="45"/>
  <c r="K48" i="45"/>
  <c r="J48" i="45"/>
  <c r="I48" i="45"/>
  <c r="H48" i="45"/>
  <c r="N48" i="45" s="1"/>
  <c r="G48" i="45"/>
  <c r="M48" i="45" s="1"/>
  <c r="L47" i="45"/>
  <c r="L55" i="45" s="1"/>
  <c r="K47" i="45"/>
  <c r="J47" i="45"/>
  <c r="J55" i="45" s="1"/>
  <c r="I47" i="45"/>
  <c r="I55" i="45" s="1"/>
  <c r="H47" i="45"/>
  <c r="H55" i="45" s="1"/>
  <c r="G47" i="45"/>
  <c r="F45" i="45"/>
  <c r="E45" i="45"/>
  <c r="L42" i="45"/>
  <c r="K42" i="45"/>
  <c r="J42" i="45"/>
  <c r="I42" i="45"/>
  <c r="H42" i="45"/>
  <c r="N42" i="45" s="1"/>
  <c r="G42" i="45"/>
  <c r="L41" i="45"/>
  <c r="L45" i="45" s="1"/>
  <c r="K41" i="45"/>
  <c r="K45" i="45" s="1"/>
  <c r="J41" i="45"/>
  <c r="J45" i="45" s="1"/>
  <c r="J56" i="45" s="1"/>
  <c r="I41" i="45"/>
  <c r="H41" i="45"/>
  <c r="H45" i="45" s="1"/>
  <c r="G41" i="45"/>
  <c r="L31" i="45"/>
  <c r="K31" i="45"/>
  <c r="J31" i="45"/>
  <c r="I31" i="45"/>
  <c r="H31" i="45"/>
  <c r="N31" i="45" s="1"/>
  <c r="G31" i="45"/>
  <c r="L34" i="45"/>
  <c r="K34" i="45"/>
  <c r="J34" i="45"/>
  <c r="I34" i="45"/>
  <c r="H34" i="45"/>
  <c r="N34" i="45" s="1"/>
  <c r="G34" i="45"/>
  <c r="M34" i="45" s="1"/>
  <c r="L32" i="45"/>
  <c r="K32" i="45"/>
  <c r="J32" i="45"/>
  <c r="I32" i="45"/>
  <c r="H32" i="45"/>
  <c r="N32" i="45" s="1"/>
  <c r="G32" i="45"/>
  <c r="M32" i="45" s="1"/>
  <c r="M57" i="46" l="1"/>
  <c r="M60" i="46" s="1"/>
  <c r="M19" i="46"/>
  <c r="H31" i="46"/>
  <c r="H43" i="46" s="1"/>
  <c r="M27" i="46"/>
  <c r="J31" i="46"/>
  <c r="J43" i="46" s="1"/>
  <c r="N39" i="46"/>
  <c r="H50" i="46"/>
  <c r="N50" i="46" s="1"/>
  <c r="H60" i="46"/>
  <c r="N58" i="46"/>
  <c r="N15" i="46"/>
  <c r="N18" i="46"/>
  <c r="N27" i="46"/>
  <c r="L43" i="46"/>
  <c r="H42" i="46"/>
  <c r="M39" i="46"/>
  <c r="M42" i="46" s="1"/>
  <c r="N52" i="45"/>
  <c r="L56" i="45"/>
  <c r="G55" i="45"/>
  <c r="K55" i="45"/>
  <c r="K56" i="45" s="1"/>
  <c r="M31" i="45"/>
  <c r="I45" i="45"/>
  <c r="I56" i="45" s="1"/>
  <c r="M14" i="46"/>
  <c r="N14" i="46"/>
  <c r="G31" i="46"/>
  <c r="G43" i="46" s="1"/>
  <c r="I31" i="46"/>
  <c r="I43" i="46" s="1"/>
  <c r="K31" i="46"/>
  <c r="K43" i="46" s="1"/>
  <c r="M26" i="46"/>
  <c r="G61" i="46"/>
  <c r="M50" i="46"/>
  <c r="N60" i="46"/>
  <c r="N42" i="46"/>
  <c r="M42" i="45"/>
  <c r="G56" i="45"/>
  <c r="M45" i="45"/>
  <c r="H56" i="45"/>
  <c r="N45" i="45"/>
  <c r="M41" i="45"/>
  <c r="M47" i="45"/>
  <c r="M55" i="45" s="1"/>
  <c r="N41" i="45"/>
  <c r="N47" i="45"/>
  <c r="H61" i="46" l="1"/>
  <c r="N31" i="46"/>
  <c r="N55" i="45"/>
  <c r="M31" i="46"/>
  <c r="M43" i="46" s="1"/>
  <c r="N61" i="46"/>
  <c r="M61" i="46"/>
  <c r="N43" i="46"/>
  <c r="N56" i="45"/>
  <c r="M56" i="45"/>
  <c r="L17" i="45" l="1"/>
  <c r="K17" i="45"/>
  <c r="J17" i="45"/>
  <c r="I17" i="45"/>
  <c r="H17" i="45"/>
  <c r="N17" i="45" s="1"/>
  <c r="G17" i="45"/>
  <c r="M17" i="45" s="1"/>
  <c r="L16" i="45"/>
  <c r="K16" i="45"/>
  <c r="J16" i="45"/>
  <c r="I16" i="45"/>
  <c r="H16" i="45"/>
  <c r="N16" i="45" s="1"/>
  <c r="G16" i="45"/>
  <c r="M16" i="45" s="1"/>
  <c r="L33" i="45"/>
  <c r="K33" i="45"/>
  <c r="J33" i="45"/>
  <c r="I33" i="45"/>
  <c r="H33" i="45"/>
  <c r="N33" i="45" s="1"/>
  <c r="G33" i="45"/>
  <c r="M33" i="45" s="1"/>
  <c r="L36" i="47" l="1"/>
  <c r="K36" i="47"/>
  <c r="J36" i="47"/>
  <c r="I36" i="47"/>
  <c r="H36" i="47"/>
  <c r="G36" i="47"/>
  <c r="L53" i="47"/>
  <c r="K53" i="47"/>
  <c r="J53" i="47"/>
  <c r="I53" i="47"/>
  <c r="H53" i="47"/>
  <c r="G53" i="47"/>
  <c r="F60" i="47"/>
  <c r="L58" i="47"/>
  <c r="K58" i="47"/>
  <c r="J58" i="47"/>
  <c r="I58" i="47"/>
  <c r="H58" i="47"/>
  <c r="G58" i="47"/>
  <c r="L57" i="47"/>
  <c r="K57" i="47"/>
  <c r="J57" i="47"/>
  <c r="I57" i="47"/>
  <c r="H57" i="47"/>
  <c r="G57" i="47"/>
  <c r="L56" i="47"/>
  <c r="K56" i="47"/>
  <c r="J56" i="47"/>
  <c r="I56" i="47"/>
  <c r="H56" i="47"/>
  <c r="G56" i="47"/>
  <c r="L55" i="47"/>
  <c r="K55" i="47"/>
  <c r="J55" i="47"/>
  <c r="I55" i="47"/>
  <c r="H55" i="47"/>
  <c r="G55" i="47"/>
  <c r="M55" i="47" s="1"/>
  <c r="L54" i="47"/>
  <c r="K54" i="47"/>
  <c r="J54" i="47"/>
  <c r="I54" i="47"/>
  <c r="I60" i="47" s="1"/>
  <c r="H54" i="47"/>
  <c r="G54" i="47"/>
  <c r="K60" i="47"/>
  <c r="G60" i="47"/>
  <c r="F51" i="47"/>
  <c r="E51" i="47"/>
  <c r="L48" i="47"/>
  <c r="K48" i="47"/>
  <c r="J48" i="47"/>
  <c r="I48" i="47"/>
  <c r="H48" i="47"/>
  <c r="G48" i="47"/>
  <c r="M48" i="47" s="1"/>
  <c r="L47" i="47"/>
  <c r="L51" i="47" s="1"/>
  <c r="K47" i="47"/>
  <c r="J47" i="47"/>
  <c r="I47" i="47"/>
  <c r="H47" i="47"/>
  <c r="H51" i="47" s="1"/>
  <c r="G47" i="47"/>
  <c r="L42" i="47"/>
  <c r="K42" i="47"/>
  <c r="J42" i="47"/>
  <c r="I42" i="47"/>
  <c r="H42" i="47"/>
  <c r="G42" i="47"/>
  <c r="M42" i="47" s="1"/>
  <c r="L41" i="47"/>
  <c r="K41" i="47"/>
  <c r="J41" i="47"/>
  <c r="I41" i="47"/>
  <c r="H41" i="47"/>
  <c r="N41" i="47" s="1"/>
  <c r="G41" i="47"/>
  <c r="L40" i="47"/>
  <c r="K40" i="47"/>
  <c r="J40" i="47"/>
  <c r="I40" i="47"/>
  <c r="H40" i="47"/>
  <c r="G40" i="47"/>
  <c r="M40" i="47" s="1"/>
  <c r="L38" i="47"/>
  <c r="K38" i="47"/>
  <c r="J38" i="47"/>
  <c r="I38" i="47"/>
  <c r="I44" i="47" s="1"/>
  <c r="H38" i="47"/>
  <c r="N38" i="47" s="1"/>
  <c r="G38" i="47"/>
  <c r="L37" i="47"/>
  <c r="K37" i="47"/>
  <c r="J37" i="47"/>
  <c r="J44" i="47" s="1"/>
  <c r="I37" i="47"/>
  <c r="H37" i="47"/>
  <c r="G37" i="47"/>
  <c r="M37" i="47" s="1"/>
  <c r="L44" i="47"/>
  <c r="F33" i="47"/>
  <c r="E33" i="47"/>
  <c r="L29" i="47"/>
  <c r="K29" i="47"/>
  <c r="J29" i="47"/>
  <c r="I29" i="47"/>
  <c r="H29" i="47"/>
  <c r="G29" i="47"/>
  <c r="M29" i="47" s="1"/>
  <c r="L28" i="47"/>
  <c r="L33" i="47" s="1"/>
  <c r="K28" i="47"/>
  <c r="J28" i="47"/>
  <c r="I28" i="47"/>
  <c r="I33" i="47" s="1"/>
  <c r="H28" i="47"/>
  <c r="H33" i="47" s="1"/>
  <c r="G28" i="47"/>
  <c r="F66" i="43"/>
  <c r="L63" i="43"/>
  <c r="K63" i="43"/>
  <c r="J63" i="43"/>
  <c r="I63" i="43"/>
  <c r="H63" i="43"/>
  <c r="G63" i="43"/>
  <c r="L62" i="43"/>
  <c r="K62" i="43"/>
  <c r="J62" i="43"/>
  <c r="I62" i="43"/>
  <c r="H62" i="43"/>
  <c r="G62" i="43"/>
  <c r="L61" i="43"/>
  <c r="K61" i="43"/>
  <c r="J61" i="43"/>
  <c r="I61" i="43"/>
  <c r="H61" i="43"/>
  <c r="G61" i="43"/>
  <c r="L60" i="43"/>
  <c r="K60" i="43"/>
  <c r="J60" i="43"/>
  <c r="I60" i="43"/>
  <c r="H60" i="43"/>
  <c r="G60" i="43"/>
  <c r="L59" i="43"/>
  <c r="K59" i="43"/>
  <c r="J59" i="43"/>
  <c r="J66" i="43" s="1"/>
  <c r="I59" i="43"/>
  <c r="H59" i="43"/>
  <c r="G59" i="43"/>
  <c r="G66" i="43" s="1"/>
  <c r="F57" i="43"/>
  <c r="E57" i="43"/>
  <c r="L55" i="43"/>
  <c r="K55" i="43"/>
  <c r="J55" i="43"/>
  <c r="I55" i="43"/>
  <c r="H55" i="43"/>
  <c r="G55" i="43"/>
  <c r="L53" i="43"/>
  <c r="K53" i="43"/>
  <c r="J53" i="43"/>
  <c r="I53" i="43"/>
  <c r="H53" i="43"/>
  <c r="N53" i="43" s="1"/>
  <c r="G53" i="43"/>
  <c r="L52" i="43"/>
  <c r="K52" i="43"/>
  <c r="K57" i="43" s="1"/>
  <c r="J52" i="43"/>
  <c r="J57" i="43" s="1"/>
  <c r="I52" i="43"/>
  <c r="H52" i="43"/>
  <c r="G52" i="43"/>
  <c r="G57" i="43" s="1"/>
  <c r="L17" i="47"/>
  <c r="K17" i="47"/>
  <c r="J17" i="47"/>
  <c r="I17" i="47"/>
  <c r="H17" i="47"/>
  <c r="G17" i="47"/>
  <c r="N55" i="43" l="1"/>
  <c r="H66" i="43"/>
  <c r="J67" i="43"/>
  <c r="J60" i="47"/>
  <c r="N17" i="47"/>
  <c r="N54" i="47"/>
  <c r="N56" i="47"/>
  <c r="M36" i="47"/>
  <c r="N36" i="47"/>
  <c r="N58" i="47"/>
  <c r="L60" i="47"/>
  <c r="M57" i="47"/>
  <c r="I51" i="47"/>
  <c r="I61" i="47" s="1"/>
  <c r="L45" i="47"/>
  <c r="H44" i="47"/>
  <c r="I45" i="47"/>
  <c r="K44" i="47"/>
  <c r="H57" i="43"/>
  <c r="H67" i="43" s="1"/>
  <c r="I57" i="43"/>
  <c r="I67" i="43" s="1"/>
  <c r="M53" i="43"/>
  <c r="M55" i="43"/>
  <c r="I66" i="43"/>
  <c r="M60" i="43"/>
  <c r="M62" i="43"/>
  <c r="N60" i="43"/>
  <c r="N62" i="43"/>
  <c r="K66" i="43"/>
  <c r="K67" i="43" s="1"/>
  <c r="M61" i="43"/>
  <c r="M63" i="43"/>
  <c r="L57" i="43"/>
  <c r="L66" i="43"/>
  <c r="N61" i="43"/>
  <c r="N63" i="43"/>
  <c r="L61" i="47"/>
  <c r="J33" i="47"/>
  <c r="J45" i="47" s="1"/>
  <c r="N29" i="47"/>
  <c r="N37" i="47"/>
  <c r="N40" i="47"/>
  <c r="N42" i="47"/>
  <c r="J51" i="47"/>
  <c r="J61" i="47" s="1"/>
  <c r="N48" i="47"/>
  <c r="H60" i="47"/>
  <c r="H61" i="47" s="1"/>
  <c r="N55" i="47"/>
  <c r="N57" i="47"/>
  <c r="M53" i="47"/>
  <c r="M17" i="47"/>
  <c r="G33" i="47"/>
  <c r="K33" i="47"/>
  <c r="G44" i="47"/>
  <c r="M38" i="47"/>
  <c r="M41" i="47"/>
  <c r="G51" i="47"/>
  <c r="K51" i="47"/>
  <c r="K61" i="47" s="1"/>
  <c r="M54" i="47"/>
  <c r="M56" i="47"/>
  <c r="M58" i="47"/>
  <c r="M60" i="47" s="1"/>
  <c r="N53" i="47"/>
  <c r="H45" i="47"/>
  <c r="M28" i="47"/>
  <c r="M44" i="47"/>
  <c r="M47" i="47"/>
  <c r="N28" i="47"/>
  <c r="N44" i="47"/>
  <c r="N47" i="47"/>
  <c r="G67" i="43"/>
  <c r="M57" i="43"/>
  <c r="N52" i="43"/>
  <c r="N59" i="43"/>
  <c r="N66" i="43" s="1"/>
  <c r="M52" i="43"/>
  <c r="M59" i="43"/>
  <c r="M66" i="43" s="1"/>
  <c r="M51" i="47" l="1"/>
  <c r="G61" i="47"/>
  <c r="N33" i="47"/>
  <c r="M33" i="47"/>
  <c r="N57" i="43"/>
  <c r="N60" i="47"/>
  <c r="N51" i="47"/>
  <c r="K45" i="47"/>
  <c r="G45" i="47"/>
  <c r="L67" i="43"/>
  <c r="N61" i="47"/>
  <c r="N45" i="47"/>
  <c r="M61" i="47"/>
  <c r="M45" i="47"/>
  <c r="N67" i="43"/>
  <c r="M67" i="43"/>
  <c r="L42" i="43" l="1"/>
  <c r="K42" i="43"/>
  <c r="J42" i="43"/>
  <c r="I42" i="43"/>
  <c r="H42" i="43"/>
  <c r="G42" i="43"/>
  <c r="L26" i="43"/>
  <c r="K26" i="43"/>
  <c r="J26" i="43"/>
  <c r="I26" i="43"/>
  <c r="H26" i="43"/>
  <c r="G26" i="43"/>
  <c r="L24" i="43"/>
  <c r="K24" i="43"/>
  <c r="J24" i="43"/>
  <c r="I24" i="43"/>
  <c r="H24" i="43"/>
  <c r="G24" i="43"/>
  <c r="M24" i="43" l="1"/>
  <c r="N24" i="43"/>
  <c r="M42" i="43"/>
  <c r="M26" i="43"/>
  <c r="N26" i="43"/>
  <c r="N42" i="43"/>
  <c r="E21" i="43"/>
  <c r="L16" i="43"/>
  <c r="K16" i="43"/>
  <c r="J16" i="43"/>
  <c r="I16" i="43"/>
  <c r="H16" i="43"/>
  <c r="G16" i="43"/>
  <c r="M16" i="43" l="1"/>
  <c r="N16" i="43"/>
  <c r="L16" i="47"/>
  <c r="K16" i="47"/>
  <c r="J16" i="47"/>
  <c r="I16" i="47"/>
  <c r="H16" i="47"/>
  <c r="G16" i="47"/>
  <c r="L16" i="46"/>
  <c r="K16" i="46"/>
  <c r="J16" i="46"/>
  <c r="I16" i="46"/>
  <c r="H16" i="46"/>
  <c r="G16" i="46"/>
  <c r="L21" i="47"/>
  <c r="K21" i="47"/>
  <c r="J21" i="47"/>
  <c r="I21" i="47"/>
  <c r="H21" i="47"/>
  <c r="N21" i="47" s="1"/>
  <c r="G21" i="47"/>
  <c r="M21" i="47" s="1"/>
  <c r="L18" i="47"/>
  <c r="K18" i="47"/>
  <c r="J18" i="47"/>
  <c r="I18" i="47"/>
  <c r="H18" i="47"/>
  <c r="G18" i="47"/>
  <c r="L44" i="43"/>
  <c r="K44" i="43"/>
  <c r="J44" i="43"/>
  <c r="I44" i="43"/>
  <c r="H44" i="43"/>
  <c r="N44" i="43" s="1"/>
  <c r="G44" i="43"/>
  <c r="M44" i="43" s="1"/>
  <c r="M18" i="47" l="1"/>
  <c r="M16" i="47"/>
  <c r="N18" i="47"/>
  <c r="N16" i="47"/>
  <c r="M16" i="46"/>
  <c r="N16" i="46"/>
  <c r="L21" i="46"/>
  <c r="K21" i="46"/>
  <c r="J21" i="46"/>
  <c r="I21" i="46"/>
  <c r="H21" i="46"/>
  <c r="N21" i="46" s="1"/>
  <c r="G21" i="46"/>
  <c r="L17" i="46"/>
  <c r="K17" i="46"/>
  <c r="J17" i="46"/>
  <c r="I17" i="46"/>
  <c r="H17" i="46"/>
  <c r="G17" i="46"/>
  <c r="L7" i="46"/>
  <c r="K7" i="46"/>
  <c r="J7" i="46"/>
  <c r="I7" i="46"/>
  <c r="H7" i="46"/>
  <c r="N7" i="46" s="1"/>
  <c r="G7" i="46"/>
  <c r="L36" i="45"/>
  <c r="K36" i="45"/>
  <c r="J36" i="45"/>
  <c r="I36" i="45"/>
  <c r="H36" i="45"/>
  <c r="N36" i="45" s="1"/>
  <c r="G36" i="45"/>
  <c r="M36" i="45" s="1"/>
  <c r="M21" i="46" l="1"/>
  <c r="M17" i="46"/>
  <c r="N17" i="46"/>
  <c r="M7" i="46"/>
  <c r="F25" i="47"/>
  <c r="E25" i="47"/>
  <c r="L22" i="47"/>
  <c r="K22" i="47"/>
  <c r="J22" i="47"/>
  <c r="I22" i="47"/>
  <c r="H22" i="47"/>
  <c r="G22" i="47"/>
  <c r="L20" i="47"/>
  <c r="K20" i="47"/>
  <c r="J20" i="47"/>
  <c r="I20" i="47"/>
  <c r="H20" i="47"/>
  <c r="G20" i="47"/>
  <c r="L19" i="47"/>
  <c r="K19" i="47"/>
  <c r="J19" i="47"/>
  <c r="J25" i="47" s="1"/>
  <c r="I19" i="47"/>
  <c r="H19" i="47"/>
  <c r="G19" i="47"/>
  <c r="L25" i="47"/>
  <c r="F14" i="47"/>
  <c r="E14" i="47"/>
  <c r="L10" i="47"/>
  <c r="K10" i="47"/>
  <c r="J10" i="47"/>
  <c r="I10" i="47"/>
  <c r="H10" i="47"/>
  <c r="G10" i="47"/>
  <c r="M10" i="47" s="1"/>
  <c r="L9" i="47"/>
  <c r="L14" i="47" s="1"/>
  <c r="K9" i="47"/>
  <c r="J9" i="47"/>
  <c r="I9" i="47"/>
  <c r="I14" i="47" s="1"/>
  <c r="H9" i="47"/>
  <c r="H14" i="47" s="1"/>
  <c r="G9" i="47"/>
  <c r="L18" i="45"/>
  <c r="K18" i="45"/>
  <c r="J18" i="45"/>
  <c r="I18" i="45"/>
  <c r="H18" i="45"/>
  <c r="N18" i="45" s="1"/>
  <c r="G18" i="45"/>
  <c r="M18" i="45" s="1"/>
  <c r="L7" i="45"/>
  <c r="K7" i="45"/>
  <c r="J7" i="45"/>
  <c r="I7" i="45"/>
  <c r="H7" i="45"/>
  <c r="N7" i="45" s="1"/>
  <c r="G7" i="45"/>
  <c r="M7" i="45" s="1"/>
  <c r="L45" i="43"/>
  <c r="K45" i="43"/>
  <c r="J45" i="43"/>
  <c r="I45" i="43"/>
  <c r="H45" i="43"/>
  <c r="G45" i="43"/>
  <c r="E49" i="43"/>
  <c r="L47" i="43"/>
  <c r="K47" i="43"/>
  <c r="J47" i="43"/>
  <c r="I47" i="43"/>
  <c r="H47" i="43"/>
  <c r="G47" i="43"/>
  <c r="L30" i="43"/>
  <c r="K30" i="43"/>
  <c r="J30" i="43"/>
  <c r="I30" i="43"/>
  <c r="H30" i="43"/>
  <c r="G30" i="43"/>
  <c r="L29" i="43"/>
  <c r="K29" i="43"/>
  <c r="J29" i="43"/>
  <c r="I29" i="43"/>
  <c r="H29" i="43"/>
  <c r="G29" i="43"/>
  <c r="L25" i="43"/>
  <c r="K25" i="43"/>
  <c r="J25" i="43"/>
  <c r="I25" i="43"/>
  <c r="H25" i="43"/>
  <c r="G25" i="43"/>
  <c r="L19" i="43"/>
  <c r="K19" i="43"/>
  <c r="J19" i="43"/>
  <c r="I19" i="43"/>
  <c r="H19" i="43"/>
  <c r="N19" i="43" s="1"/>
  <c r="G19" i="43"/>
  <c r="M25" i="43" l="1"/>
  <c r="M30" i="43"/>
  <c r="N25" i="43"/>
  <c r="N30" i="43"/>
  <c r="L26" i="47"/>
  <c r="H25" i="47"/>
  <c r="N20" i="47"/>
  <c r="M19" i="47"/>
  <c r="K25" i="47"/>
  <c r="I25" i="47"/>
  <c r="I26" i="47" s="1"/>
  <c r="M22" i="47"/>
  <c r="M19" i="43"/>
  <c r="M29" i="43"/>
  <c r="M45" i="43"/>
  <c r="N47" i="43"/>
  <c r="N45" i="43"/>
  <c r="M47" i="43"/>
  <c r="N29" i="43"/>
  <c r="J14" i="47"/>
  <c r="J26" i="47" s="1"/>
  <c r="N10" i="47"/>
  <c r="N19" i="47"/>
  <c r="N25" i="47" s="1"/>
  <c r="N22" i="47"/>
  <c r="G14" i="47"/>
  <c r="K14" i="47"/>
  <c r="M20" i="47"/>
  <c r="H26" i="47"/>
  <c r="M9" i="47"/>
  <c r="N9" i="47"/>
  <c r="N14" i="47" l="1"/>
  <c r="K26" i="47"/>
  <c r="M25" i="47"/>
  <c r="G26" i="47"/>
  <c r="M14" i="47"/>
  <c r="N26" i="47"/>
  <c r="M26" i="47" l="1"/>
  <c r="L8" i="46"/>
  <c r="K8" i="46"/>
  <c r="H8" i="46"/>
  <c r="N8" i="46" s="1"/>
  <c r="G8" i="46"/>
  <c r="M8" i="46" s="1"/>
  <c r="L8" i="45"/>
  <c r="K8" i="45"/>
  <c r="J8" i="45"/>
  <c r="I8" i="45"/>
  <c r="H8" i="45"/>
  <c r="N8" i="45" s="1"/>
  <c r="G8" i="45"/>
  <c r="M8" i="45" s="1"/>
  <c r="L28" i="43" l="1"/>
  <c r="L32" i="43" s="1"/>
  <c r="K28" i="43"/>
  <c r="K32" i="43" s="1"/>
  <c r="J28" i="43"/>
  <c r="J32" i="43" s="1"/>
  <c r="I28" i="43"/>
  <c r="I32" i="43" s="1"/>
  <c r="H28" i="43"/>
  <c r="G28" i="43"/>
  <c r="G32" i="43" s="1"/>
  <c r="F21" i="43"/>
  <c r="L17" i="43"/>
  <c r="K17" i="43"/>
  <c r="J17" i="43"/>
  <c r="I17" i="43"/>
  <c r="H17" i="43"/>
  <c r="N17" i="43" s="1"/>
  <c r="G17" i="43"/>
  <c r="M17" i="43" l="1"/>
  <c r="N28" i="43"/>
  <c r="N32" i="43" s="1"/>
  <c r="H32" i="43"/>
  <c r="M28" i="43"/>
  <c r="M32" i="43" s="1"/>
  <c r="F38" i="45" l="1"/>
  <c r="E38" i="45"/>
  <c r="L20" i="46" l="1"/>
  <c r="L23" i="46" s="1"/>
  <c r="K20" i="46"/>
  <c r="K23" i="46" s="1"/>
  <c r="J20" i="46"/>
  <c r="J23" i="46" s="1"/>
  <c r="I20" i="46"/>
  <c r="I23" i="46" s="1"/>
  <c r="H20" i="46"/>
  <c r="G20" i="46"/>
  <c r="L35" i="45"/>
  <c r="K35" i="45"/>
  <c r="J35" i="45"/>
  <c r="I35" i="45"/>
  <c r="H35" i="45"/>
  <c r="N35" i="45" s="1"/>
  <c r="G35" i="45"/>
  <c r="M35" i="45" s="1"/>
  <c r="M20" i="46" l="1"/>
  <c r="M23" i="46" s="1"/>
  <c r="G23" i="46"/>
  <c r="N20" i="46"/>
  <c r="N23" i="46" s="1"/>
  <c r="H23" i="46"/>
  <c r="L46" i="43"/>
  <c r="K46" i="43"/>
  <c r="J46" i="43"/>
  <c r="I46" i="43"/>
  <c r="H46" i="43"/>
  <c r="G46" i="43"/>
  <c r="J12" i="46"/>
  <c r="I12" i="46"/>
  <c r="L21" i="43"/>
  <c r="K21" i="43"/>
  <c r="J21" i="43"/>
  <c r="I21" i="43"/>
  <c r="M46" i="43" l="1"/>
  <c r="N46" i="43"/>
  <c r="G21" i="43"/>
  <c r="M21" i="43" s="1"/>
  <c r="H21" i="43"/>
  <c r="N21" i="43" s="1"/>
  <c r="L38" i="45"/>
  <c r="K38" i="45"/>
  <c r="J38" i="45"/>
  <c r="I38" i="45"/>
  <c r="N38" i="45" l="1"/>
  <c r="H38" i="45"/>
  <c r="M38" i="45"/>
  <c r="G38" i="45"/>
  <c r="N33" i="43" l="1"/>
  <c r="G33" i="43"/>
  <c r="H33" i="43"/>
  <c r="I33" i="43"/>
  <c r="J33" i="43"/>
  <c r="L33" i="43"/>
  <c r="M33" i="43"/>
  <c r="F12" i="46" l="1"/>
  <c r="E12" i="46"/>
  <c r="L12" i="46"/>
  <c r="K12" i="46"/>
  <c r="H12" i="46"/>
  <c r="G12" i="46"/>
  <c r="N12" i="46" l="1"/>
  <c r="M12" i="46"/>
  <c r="I24" i="46"/>
  <c r="K24" i="46"/>
  <c r="J24" i="46"/>
  <c r="L24" i="46"/>
  <c r="G24" i="46"/>
  <c r="H24" i="46"/>
  <c r="N24" i="46" l="1"/>
  <c r="M24" i="46"/>
  <c r="F29" i="45" l="1"/>
  <c r="E29" i="45"/>
  <c r="L29" i="45"/>
  <c r="K29" i="45"/>
  <c r="J29" i="45"/>
  <c r="I29" i="45"/>
  <c r="H29" i="45"/>
  <c r="N29" i="45" s="1"/>
  <c r="G29" i="45"/>
  <c r="G39" i="45" s="1"/>
  <c r="M29" i="45" l="1"/>
  <c r="F12" i="45"/>
  <c r="E12" i="45"/>
  <c r="L12" i="45"/>
  <c r="K12" i="45"/>
  <c r="J12" i="45"/>
  <c r="I12" i="45"/>
  <c r="H12" i="45"/>
  <c r="N12" i="45" s="1"/>
  <c r="G12" i="45"/>
  <c r="F22" i="45"/>
  <c r="E22" i="45"/>
  <c r="J22" i="45"/>
  <c r="M12" i="45" l="1"/>
  <c r="M39" i="45"/>
  <c r="L39" i="45"/>
  <c r="J23" i="45"/>
  <c r="K39" i="45"/>
  <c r="G22" i="45"/>
  <c r="G23" i="45" s="1"/>
  <c r="I22" i="45"/>
  <c r="K22" i="45"/>
  <c r="L22" i="45"/>
  <c r="J39" i="45"/>
  <c r="I39" i="45"/>
  <c r="N22" i="45"/>
  <c r="H22" i="45"/>
  <c r="M22" i="45"/>
  <c r="M23" i="45" s="1"/>
  <c r="N39" i="45"/>
  <c r="K23" i="45" l="1"/>
  <c r="L23" i="45"/>
  <c r="I23" i="45"/>
  <c r="H39" i="45"/>
  <c r="N23" i="45"/>
  <c r="H23" i="45"/>
  <c r="F49" i="43" l="1"/>
  <c r="L49" i="43"/>
  <c r="K49" i="43"/>
  <c r="J49" i="43"/>
  <c r="I49" i="43"/>
  <c r="H49" i="43"/>
  <c r="G49" i="43"/>
  <c r="F39" i="43"/>
  <c r="E39" i="43"/>
  <c r="L39" i="43"/>
  <c r="L50" i="43" s="1"/>
  <c r="K39" i="43"/>
  <c r="J39" i="43"/>
  <c r="I39" i="43"/>
  <c r="I50" i="43" s="1"/>
  <c r="H39" i="43"/>
  <c r="G39" i="43"/>
  <c r="J50" i="43" l="1"/>
  <c r="K50" i="43"/>
  <c r="G50" i="43"/>
  <c r="M39" i="43"/>
  <c r="H50" i="43"/>
  <c r="N39" i="43"/>
  <c r="M49" i="43"/>
  <c r="N49" i="43"/>
  <c r="M50" i="43" l="1"/>
  <c r="N50" i="43"/>
  <c r="K33" i="43"/>
</calcChain>
</file>

<file path=xl/sharedStrings.xml><?xml version="1.0" encoding="utf-8"?>
<sst xmlns="http://schemas.openxmlformats.org/spreadsheetml/2006/main" count="786" uniqueCount="271">
  <si>
    <t>№ рец.</t>
  </si>
  <si>
    <t>Наименование блюда</t>
  </si>
  <si>
    <t>Жиры,гр.</t>
  </si>
  <si>
    <t>Белки,гр.</t>
  </si>
  <si>
    <t>Углеводы,гр.</t>
  </si>
  <si>
    <t>Энергетическая ценность (ккал)</t>
  </si>
  <si>
    <t>Выход,гр.</t>
  </si>
  <si>
    <t>Пищевые вещества.</t>
  </si>
  <si>
    <t>ЗАВТРАК</t>
  </si>
  <si>
    <t>ОБЕД</t>
  </si>
  <si>
    <t>Макаронные изделия отварные</t>
  </si>
  <si>
    <t>Чай с лимоном</t>
  </si>
  <si>
    <t>ИТОГО ЗА ДЕНЬ:</t>
  </si>
  <si>
    <t>ИТОГО  ЗАВТРАК:</t>
  </si>
  <si>
    <t>ИТОГО  ОБЕД:</t>
  </si>
  <si>
    <t>7-11 лет</t>
  </si>
  <si>
    <t xml:space="preserve"> Чай с сахаром</t>
  </si>
  <si>
    <t>Каша рисовая молочная жидкая</t>
  </si>
  <si>
    <t>46/2008г</t>
  </si>
  <si>
    <t>92/2008г</t>
  </si>
  <si>
    <t>Картофельное пюре</t>
  </si>
  <si>
    <t>39/2008г</t>
  </si>
  <si>
    <t>Хлеб ржаной</t>
  </si>
  <si>
    <t>Каша пшеничная молочная жидкая</t>
  </si>
  <si>
    <t xml:space="preserve"> </t>
  </si>
  <si>
    <t>чай с лимоном</t>
  </si>
  <si>
    <t>2004г</t>
  </si>
  <si>
    <t xml:space="preserve">Сборник рецептур блюд и кулинарных изделий для предприятий общественного питания      </t>
  </si>
  <si>
    <t>2008г</t>
  </si>
  <si>
    <t xml:space="preserve">Сборник  технических нормативов, рецептур блюд и кулинарных изделий для           </t>
  </si>
  <si>
    <t xml:space="preserve">предприятий общественного питания при образовательных учреждениях УР.  Ижевск 2008 г.   </t>
  </si>
  <si>
    <t>2013г</t>
  </si>
  <si>
    <t xml:space="preserve">организации питания детей в дошкольных организациях УР.  Ижевск 2013 г.   </t>
  </si>
  <si>
    <t>97/2008г</t>
  </si>
  <si>
    <t>каша гречневая</t>
  </si>
  <si>
    <t>2021г</t>
  </si>
  <si>
    <t>Единый сборник технологических нормативов, рецептур блюд и кулинарных изделий для детских садов,</t>
  </si>
  <si>
    <t>общеобразовательных школах. Уральский региональный центр питания. Пермь 2021 г. (Под общей редакцией А.Я. Превалова)</t>
  </si>
  <si>
    <t xml:space="preserve">при общеобразовательных школах . Москва 2004г (Под общей редакцией В.Т Лапшиной)   </t>
  </si>
  <si>
    <t xml:space="preserve">УТВЕРЖДАЮ </t>
  </si>
  <si>
    <t>СОГЛАСОВАНО</t>
  </si>
  <si>
    <t>Генеральный директор ООО "Школьное питание"</t>
  </si>
  <si>
    <t>Колеватов Е.С____________</t>
  </si>
  <si>
    <t>12-18 лет</t>
  </si>
  <si>
    <t>459/2021г</t>
  </si>
  <si>
    <t>457/2021г</t>
  </si>
  <si>
    <t>495/2021г</t>
  </si>
  <si>
    <t>Компот из смеси сухофруктов</t>
  </si>
  <si>
    <t>Список литературы</t>
  </si>
  <si>
    <t>обед</t>
  </si>
  <si>
    <t>завтрак</t>
  </si>
  <si>
    <t>2 нед.</t>
  </si>
  <si>
    <t>1 нед.</t>
  </si>
  <si>
    <t>кофейный напиток</t>
  </si>
  <si>
    <t>236/2021г</t>
  </si>
  <si>
    <t>462/2021г</t>
  </si>
  <si>
    <t>Какао с молоком</t>
  </si>
  <si>
    <t>Каша пшённая молочная жидкая</t>
  </si>
  <si>
    <t>232/2021г</t>
  </si>
  <si>
    <t>235/2021г</t>
  </si>
  <si>
    <t>141/2008г</t>
  </si>
  <si>
    <t>Соус томатный</t>
  </si>
  <si>
    <t xml:space="preserve">Борщ с капустой и картофелем </t>
  </si>
  <si>
    <t>176/2013г</t>
  </si>
  <si>
    <t>Жаркое по-домашнему</t>
  </si>
  <si>
    <t>41/2008г</t>
  </si>
  <si>
    <t xml:space="preserve">Щи из свежей капусты с картофелем </t>
  </si>
  <si>
    <t>464/2021г</t>
  </si>
  <si>
    <t>Кофейный напиток</t>
  </si>
  <si>
    <t>160/2004г</t>
  </si>
  <si>
    <t>Суп молочный с макаронными изделиями</t>
  </si>
  <si>
    <t>574/2021г</t>
  </si>
  <si>
    <t>573/2021г</t>
  </si>
  <si>
    <t>Хлеб пшеничный формовой</t>
  </si>
  <si>
    <t>какао с молоком</t>
  </si>
  <si>
    <t xml:space="preserve">Суп картофельный с мак. изделиями </t>
  </si>
  <si>
    <t>494/2021г</t>
  </si>
  <si>
    <t>451/2004г</t>
  </si>
  <si>
    <t>Шницель</t>
  </si>
  <si>
    <t>шницель</t>
  </si>
  <si>
    <t>суп гороховый</t>
  </si>
  <si>
    <t>чай с сахаром</t>
  </si>
  <si>
    <t>ТК-2</t>
  </si>
  <si>
    <t>Огурцы свежие порционно</t>
  </si>
  <si>
    <t>БЛЮДО</t>
  </si>
  <si>
    <t>каша</t>
  </si>
  <si>
    <t>каша рисовая молочная</t>
  </si>
  <si>
    <t>суп молочный с макаронными изделиями</t>
  </si>
  <si>
    <t>каша "дружба"</t>
  </si>
  <si>
    <t>сыр порционно</t>
  </si>
  <si>
    <t>масло слив. порционно</t>
  </si>
  <si>
    <t>напиток</t>
  </si>
  <si>
    <t>закуска</t>
  </si>
  <si>
    <t>суп</t>
  </si>
  <si>
    <t>борщ с капустой и картофелем</t>
  </si>
  <si>
    <t>гарнир</t>
  </si>
  <si>
    <t>макароны отварные</t>
  </si>
  <si>
    <t>рыба</t>
  </si>
  <si>
    <t>мясо</t>
  </si>
  <si>
    <t>жаркое по-домашнему</t>
  </si>
  <si>
    <t>птица</t>
  </si>
  <si>
    <t>компот из смеси сухофруктов</t>
  </si>
  <si>
    <t>напиток из шиповника</t>
  </si>
  <si>
    <t>щи из свежей капусты с картофелем</t>
  </si>
  <si>
    <t>напиток лимонный</t>
  </si>
  <si>
    <t>доп.питание</t>
  </si>
  <si>
    <t>Основное  двенадцатидневное меню для организации питания детей</t>
  </si>
  <si>
    <t xml:space="preserve">в летнем оздоровительном лагере дневного пребывания </t>
  </si>
  <si>
    <t>75/2021г</t>
  </si>
  <si>
    <t>Сыр полутвердый (порциями)</t>
  </si>
  <si>
    <t>Фрукты свежие</t>
  </si>
  <si>
    <t>96/2004г</t>
  </si>
  <si>
    <t>Масло  (порциями)</t>
  </si>
  <si>
    <t>ПП</t>
  </si>
  <si>
    <t>496/2021г</t>
  </si>
  <si>
    <t>Напиток из плодов шиповника</t>
  </si>
  <si>
    <t>156/2008г</t>
  </si>
  <si>
    <t>Напиток лимонный</t>
  </si>
  <si>
    <t>47/2008г</t>
  </si>
  <si>
    <t>Суп картофельный с бобовыми</t>
  </si>
  <si>
    <t>Директор МБОУ "Вавожская  СОШ"</t>
  </si>
  <si>
    <t>Сулимова Е.Н.____________</t>
  </si>
  <si>
    <t>МБОУ "Вавожская СОШ"</t>
  </si>
  <si>
    <t>1 день</t>
  </si>
  <si>
    <t>2 день</t>
  </si>
  <si>
    <t>3 день</t>
  </si>
  <si>
    <t>576/2021г</t>
  </si>
  <si>
    <t>Батон нарезной</t>
  </si>
  <si>
    <t>суп картофельный с мак.изделиями</t>
  </si>
  <si>
    <t xml:space="preserve">каша рисовая </t>
  </si>
  <si>
    <t>218/2021г</t>
  </si>
  <si>
    <t>Каша рисовая  (гарнир)</t>
  </si>
  <si>
    <t>салат из помидор</t>
  </si>
  <si>
    <t>рагу из мяса кур</t>
  </si>
  <si>
    <t>компот из яблок и кураги</t>
  </si>
  <si>
    <t>фрукт</t>
  </si>
  <si>
    <t>сок</t>
  </si>
  <si>
    <t>17/2021г</t>
  </si>
  <si>
    <t>Салат из свежих помидоров</t>
  </si>
  <si>
    <t>489/2004г</t>
  </si>
  <si>
    <t>Рагу из птицы</t>
  </si>
  <si>
    <t>Компот из плодов свежих и ягод сушеных</t>
  </si>
  <si>
    <t>огурцы нарезка</t>
  </si>
  <si>
    <t>510/2004г</t>
  </si>
  <si>
    <t>Каша гречневая вязкая</t>
  </si>
  <si>
    <t>63/2013г</t>
  </si>
  <si>
    <t>Пуштыешыд</t>
  </si>
  <si>
    <t>пуштыешыд</t>
  </si>
  <si>
    <t>картофельное пюре</t>
  </si>
  <si>
    <t>биточки рыбные</t>
  </si>
  <si>
    <t>4 день</t>
  </si>
  <si>
    <t>163/2013</t>
  </si>
  <si>
    <t>Котлеты, биточки, шницели рыбные</t>
  </si>
  <si>
    <t>каша пшенная молочная</t>
  </si>
  <si>
    <t>птица запеченая</t>
  </si>
  <si>
    <t>5 день</t>
  </si>
  <si>
    <t>494/2004г</t>
  </si>
  <si>
    <t>Птица запеченная</t>
  </si>
  <si>
    <t>каша гречневая молочная</t>
  </si>
  <si>
    <t>капуста тушеная</t>
  </si>
  <si>
    <t>6 день</t>
  </si>
  <si>
    <t>213/2021г</t>
  </si>
  <si>
    <t>267/2021г</t>
  </si>
  <si>
    <t>Яйцо вареное</t>
  </si>
  <si>
    <t>534/2004г</t>
  </si>
  <si>
    <t>Капуста тушеная</t>
  </si>
  <si>
    <t>Чай с сахаром</t>
  </si>
  <si>
    <t>каша пшеничная молочная</t>
  </si>
  <si>
    <t>7 день</t>
  </si>
  <si>
    <t>8 день</t>
  </si>
  <si>
    <t>9 день</t>
  </si>
  <si>
    <t>10 день</t>
  </si>
  <si>
    <t>биточки особые</t>
  </si>
  <si>
    <t>5/2021г</t>
  </si>
  <si>
    <t>Салат из капусты белокочанной и огурцов</t>
  </si>
  <si>
    <t>452/2004г</t>
  </si>
  <si>
    <t>Биточки особые</t>
  </si>
  <si>
    <t>уха со взбитым яйцом</t>
  </si>
  <si>
    <t>чай с молоком</t>
  </si>
  <si>
    <t>тефтели 2-вариант</t>
  </si>
  <si>
    <t>60/2008г</t>
  </si>
  <si>
    <t>Уха со взбитым яйцом</t>
  </si>
  <si>
    <t>229/2021г</t>
  </si>
  <si>
    <t xml:space="preserve">Каша "Дружба" </t>
  </si>
  <si>
    <t>460/2021г</t>
  </si>
  <si>
    <t>Чай с молоком</t>
  </si>
  <si>
    <t>462/2004г</t>
  </si>
  <si>
    <t>Тефтели 2-й вариант</t>
  </si>
  <si>
    <t>поджарка свиная</t>
  </si>
  <si>
    <t>408/2016г</t>
  </si>
  <si>
    <t>Поджарка свиная</t>
  </si>
  <si>
    <t>Повидло яблочное</t>
  </si>
  <si>
    <t>94/2008г</t>
  </si>
  <si>
    <t>Рис припущеный</t>
  </si>
  <si>
    <t>367/2021г</t>
  </si>
  <si>
    <t>Птица в соусе с томатом</t>
  </si>
  <si>
    <t>2016г</t>
  </si>
  <si>
    <t>Сборник рецептур на продукцию для работающих на производственных предприятиях</t>
  </si>
  <si>
    <t>и обучающихся в образовательных организациях высшего образования. Москва 2016 г. (Под редакцией М.П. Могильного)</t>
  </si>
  <si>
    <t xml:space="preserve">День </t>
  </si>
  <si>
    <t>салат из свежей капусты 
с огурцом</t>
  </si>
  <si>
    <t>суп крестьянский с крупой</t>
  </si>
  <si>
    <t>молочный коктель</t>
  </si>
  <si>
    <t>11 день</t>
  </si>
  <si>
    <t>12 день</t>
  </si>
  <si>
    <t>каша рисовая</t>
  </si>
  <si>
    <t>рассольник ленинградский</t>
  </si>
  <si>
    <t>суп с клецками</t>
  </si>
  <si>
    <t xml:space="preserve">рис припущенный </t>
  </si>
  <si>
    <t>каша пшенная</t>
  </si>
  <si>
    <t>зразы рубленные</t>
  </si>
  <si>
    <t>котлета рыбная Нептун</t>
  </si>
  <si>
    <t>компот из яблок</t>
  </si>
  <si>
    <t>48/2008г</t>
  </si>
  <si>
    <t>Суп крестьянский с крупой</t>
  </si>
  <si>
    <t>501/2021г</t>
  </si>
  <si>
    <t>Соки овощные, фруктовые и ягодные (фас 0,2 л)</t>
  </si>
  <si>
    <t>суп-лапша домашняя</t>
  </si>
  <si>
    <t>282/2021г</t>
  </si>
  <si>
    <t>Запеканка рисовая с творогом</t>
  </si>
  <si>
    <t>128/2021г</t>
  </si>
  <si>
    <t>Суп-лапша домашняя</t>
  </si>
  <si>
    <t>ТТК-3</t>
  </si>
  <si>
    <t>Салат из свежих сырых овощей</t>
  </si>
  <si>
    <t>салат из свежих сырых овощей</t>
  </si>
  <si>
    <t>115/2021г</t>
  </si>
  <si>
    <t>Суп картофельный с клецками</t>
  </si>
  <si>
    <t>Каша пшенная вязкая</t>
  </si>
  <si>
    <t>456/2004г</t>
  </si>
  <si>
    <t>Зразы рубленые</t>
  </si>
  <si>
    <t>486/2021г</t>
  </si>
  <si>
    <t>Компот из свежих плодов и ягод</t>
  </si>
  <si>
    <t>ТТК-4</t>
  </si>
  <si>
    <t>Салат из свежей капусты и овощей консервированных</t>
  </si>
  <si>
    <t>салат из св.капусты и овощей консервированных</t>
  </si>
  <si>
    <t>88/2008г</t>
  </si>
  <si>
    <t>Котлета рыбная "Нептун"</t>
  </si>
  <si>
    <t>повидло</t>
  </si>
  <si>
    <t>повидло яблочное</t>
  </si>
  <si>
    <t>помидоры порционно</t>
  </si>
  <si>
    <t xml:space="preserve">яйцо отварное </t>
  </si>
  <si>
    <t>яйцо отварное</t>
  </si>
  <si>
    <t>ТК-1</t>
  </si>
  <si>
    <t>Помидоры свежие порционно</t>
  </si>
  <si>
    <t>100/2021г</t>
  </si>
  <si>
    <t>Рассольник ленинградский</t>
  </si>
  <si>
    <t>Каша ячневая</t>
  </si>
  <si>
    <t>Огурцы св. (порц.)</t>
  </si>
  <si>
    <t>Фрукты</t>
  </si>
  <si>
    <t>Сок</t>
  </si>
  <si>
    <t>Компот из яблок</t>
  </si>
  <si>
    <t>Помидоры св. (порц.)</t>
  </si>
  <si>
    <t>Суп молочный с  мак.изд.</t>
  </si>
  <si>
    <t>Масло сл.</t>
  </si>
  <si>
    <t>Птица в соусе с томатом/ Плов*</t>
  </si>
  <si>
    <t>Творожная запеканка с рисом</t>
  </si>
  <si>
    <t>Соки овощные, фруктовые и ягодные</t>
  </si>
  <si>
    <t>227/2021г</t>
  </si>
  <si>
    <t>Каша ячневая молочная вязкая</t>
  </si>
  <si>
    <r>
      <rPr>
        <sz val="10"/>
        <color theme="1"/>
        <rFont val="Calibri"/>
        <family val="2"/>
        <charset val="204"/>
      </rPr>
      <t>*</t>
    </r>
    <r>
      <rPr>
        <sz val="9"/>
        <color theme="1"/>
        <rFont val="Calibri"/>
        <family val="2"/>
        <charset val="204"/>
      </rPr>
      <t>замена кулинарного изделия</t>
    </r>
  </si>
  <si>
    <t>492/2004г</t>
  </si>
  <si>
    <t>Плов из птицы</t>
  </si>
  <si>
    <t>202/2021г</t>
  </si>
  <si>
    <t>Каша гречневая рассыпчатая</t>
  </si>
  <si>
    <t>Булка</t>
  </si>
  <si>
    <t>булки</t>
  </si>
  <si>
    <t>булка</t>
  </si>
  <si>
    <t>Фрукты (банан)</t>
  </si>
  <si>
    <t>82/2021г</t>
  </si>
  <si>
    <t>ТТК - 12</t>
  </si>
  <si>
    <t>Рулет с начинкой в ассортименте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</si>
</sst>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.5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5"/>
      <color theme="1"/>
      <name val="Calibri"/>
      <family val="2"/>
      <charset val="204"/>
      <scheme val="minor"/>
    </font>
    <font>
      <b/>
      <i/>
      <sz val="12"/>
      <color indexed="8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u/>
      <sz val="10"/>
      <name val="Calibri"/>
      <family val="2"/>
      <charset val="204"/>
    </font>
    <font>
      <sz val="10"/>
      <name val="Calibri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u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14">
    <xf numFmtId="0" fontId="0" fillId="0" borderId="0" xfId="0"/>
    <xf numFmtId="0" fontId="0" fillId="0" borderId="0" xfId="0" applyBorder="1"/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3" fillId="0" borderId="7" xfId="0" applyFont="1" applyBorder="1"/>
    <xf numFmtId="0" fontId="1" fillId="2" borderId="7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2" borderId="9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center"/>
    </xf>
    <xf numFmtId="2" fontId="2" fillId="2" borderId="9" xfId="0" applyNumberFormat="1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2" fontId="7" fillId="3" borderId="9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" fontId="2" fillId="3" borderId="2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2" fontId="1" fillId="3" borderId="13" xfId="0" applyNumberFormat="1" applyFont="1" applyFill="1" applyBorder="1" applyAlignment="1">
      <alignment horizontal="center"/>
    </xf>
    <xf numFmtId="2" fontId="2" fillId="3" borderId="13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/>
    </xf>
    <xf numFmtId="2" fontId="1" fillId="3" borderId="13" xfId="0" applyNumberFormat="1" applyFont="1" applyFill="1" applyBorder="1" applyAlignment="1">
      <alignment horizontal="center" vertical="center"/>
    </xf>
    <xf numFmtId="2" fontId="2" fillId="3" borderId="14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Border="1"/>
    <xf numFmtId="0" fontId="11" fillId="0" borderId="0" xfId="0" applyFont="1" applyBorder="1"/>
    <xf numFmtId="0" fontId="10" fillId="0" borderId="0" xfId="0" applyFont="1"/>
    <xf numFmtId="0" fontId="1" fillId="2" borderId="35" xfId="0" applyFont="1" applyFill="1" applyBorder="1" applyAlignment="1">
      <alignment horizontal="center"/>
    </xf>
    <xf numFmtId="0" fontId="0" fillId="2" borderId="0" xfId="0" applyFill="1"/>
    <xf numFmtId="0" fontId="1" fillId="0" borderId="1" xfId="0" applyFont="1" applyBorder="1" applyAlignment="1">
      <alignment horizontal="left" vertical="center"/>
    </xf>
    <xf numFmtId="0" fontId="9" fillId="0" borderId="0" xfId="0" applyFont="1"/>
    <xf numFmtId="0" fontId="0" fillId="0" borderId="34" xfId="0" applyBorder="1"/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5" fillId="2" borderId="2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  <xf numFmtId="0" fontId="1" fillId="2" borderId="42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left"/>
    </xf>
    <xf numFmtId="2" fontId="2" fillId="2" borderId="43" xfId="0" applyNumberFormat="1" applyFont="1" applyFill="1" applyBorder="1" applyAlignment="1">
      <alignment horizontal="center"/>
    </xf>
    <xf numFmtId="2" fontId="2" fillId="3" borderId="43" xfId="0" applyNumberFormat="1" applyFont="1" applyFill="1" applyBorder="1" applyAlignment="1">
      <alignment horizontal="center"/>
    </xf>
    <xf numFmtId="2" fontId="2" fillId="3" borderId="46" xfId="0" applyNumberFormat="1" applyFont="1" applyFill="1" applyBorder="1" applyAlignment="1">
      <alignment horizontal="center"/>
    </xf>
    <xf numFmtId="0" fontId="1" fillId="2" borderId="43" xfId="0" applyFont="1" applyFill="1" applyBorder="1" applyAlignment="1">
      <alignment horizontal="center"/>
    </xf>
    <xf numFmtId="0" fontId="1" fillId="3" borderId="43" xfId="0" applyFont="1" applyFill="1" applyBorder="1" applyAlignment="1">
      <alignment horizontal="center"/>
    </xf>
    <xf numFmtId="0" fontId="2" fillId="2" borderId="49" xfId="0" applyFont="1" applyFill="1" applyBorder="1" applyAlignment="1">
      <alignment horizontal="center"/>
    </xf>
    <xf numFmtId="0" fontId="2" fillId="2" borderId="50" xfId="0" applyFont="1" applyFill="1" applyBorder="1" applyAlignment="1">
      <alignment horizontal="left"/>
    </xf>
    <xf numFmtId="0" fontId="2" fillId="2" borderId="50" xfId="0" applyFont="1" applyFill="1" applyBorder="1" applyAlignment="1">
      <alignment horizontal="center"/>
    </xf>
    <xf numFmtId="1" fontId="2" fillId="3" borderId="10" xfId="0" applyNumberFormat="1" applyFont="1" applyFill="1" applyBorder="1" applyAlignment="1">
      <alignment horizontal="center"/>
    </xf>
    <xf numFmtId="2" fontId="2" fillId="2" borderId="50" xfId="0" applyNumberFormat="1" applyFont="1" applyFill="1" applyBorder="1" applyAlignment="1">
      <alignment horizontal="center"/>
    </xf>
    <xf numFmtId="2" fontId="2" fillId="3" borderId="50" xfId="0" applyNumberFormat="1" applyFont="1" applyFill="1" applyBorder="1" applyAlignment="1">
      <alignment horizontal="center"/>
    </xf>
    <xf numFmtId="2" fontId="2" fillId="3" borderId="54" xfId="0" applyNumberFormat="1" applyFont="1" applyFill="1" applyBorder="1" applyAlignment="1">
      <alignment horizontal="center"/>
    </xf>
    <xf numFmtId="0" fontId="14" fillId="0" borderId="0" xfId="0" applyFont="1"/>
    <xf numFmtId="0" fontId="1" fillId="2" borderId="1" xfId="0" applyFont="1" applyFill="1" applyBorder="1" applyAlignment="1">
      <alignment horizontal="center"/>
    </xf>
    <xf numFmtId="0" fontId="17" fillId="0" borderId="0" xfId="0" applyFont="1"/>
    <xf numFmtId="0" fontId="18" fillId="2" borderId="51" xfId="0" applyFont="1" applyFill="1" applyBorder="1" applyAlignment="1">
      <alignment horizontal="center" vertical="center"/>
    </xf>
    <xf numFmtId="0" fontId="2" fillId="4" borderId="52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2" fontId="1" fillId="2" borderId="20" xfId="0" applyNumberFormat="1" applyFont="1" applyFill="1" applyBorder="1" applyAlignment="1">
      <alignment horizontal="center"/>
    </xf>
    <xf numFmtId="0" fontId="1" fillId="2" borderId="1" xfId="0" applyFont="1" applyFill="1" applyBorder="1" applyAlignment="1"/>
    <xf numFmtId="164" fontId="1" fillId="2" borderId="1" xfId="0" applyNumberFormat="1" applyFont="1" applyFill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0" fontId="14" fillId="0" borderId="0" xfId="0" applyFont="1" applyAlignment="1">
      <alignment vertical="center"/>
    </xf>
    <xf numFmtId="0" fontId="20" fillId="4" borderId="53" xfId="0" applyFont="1" applyFill="1" applyBorder="1" applyAlignment="1">
      <alignment horizontal="center"/>
    </xf>
    <xf numFmtId="0" fontId="19" fillId="5" borderId="22" xfId="0" applyFont="1" applyFill="1" applyBorder="1" applyAlignment="1">
      <alignment horizontal="center" vertical="center"/>
    </xf>
    <xf numFmtId="0" fontId="2" fillId="5" borderId="50" xfId="0" applyFont="1" applyFill="1" applyBorder="1" applyAlignment="1">
      <alignment horizontal="center" vertical="center"/>
    </xf>
    <xf numFmtId="0" fontId="19" fillId="5" borderId="52" xfId="0" applyFont="1" applyFill="1" applyBorder="1" applyAlignment="1">
      <alignment horizontal="center" vertical="center"/>
    </xf>
    <xf numFmtId="0" fontId="21" fillId="2" borderId="51" xfId="0" applyFont="1" applyFill="1" applyBorder="1" applyAlignment="1">
      <alignment horizontal="center" vertical="center" textRotation="90"/>
    </xf>
    <xf numFmtId="2" fontId="2" fillId="3" borderId="9" xfId="0" applyNumberFormat="1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164" fontId="1" fillId="3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2" borderId="0" xfId="0" applyFont="1" applyFill="1"/>
    <xf numFmtId="0" fontId="5" fillId="2" borderId="13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2" borderId="43" xfId="0" applyFont="1" applyFill="1" applyBorder="1" applyAlignment="1">
      <alignment horizontal="left" vertical="center"/>
    </xf>
    <xf numFmtId="0" fontId="22" fillId="4" borderId="5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/>
    </xf>
    <xf numFmtId="0" fontId="14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2" fontId="1" fillId="2" borderId="2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2" borderId="63" xfId="0" applyFont="1" applyFill="1" applyBorder="1" applyAlignment="1">
      <alignment horizontal="center" vertical="center" wrapText="1"/>
    </xf>
    <xf numFmtId="0" fontId="18" fillId="2" borderId="59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8" fillId="2" borderId="59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5" fillId="2" borderId="43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/>
    </xf>
    <xf numFmtId="0" fontId="2" fillId="2" borderId="58" xfId="0" applyFont="1" applyFill="1" applyBorder="1" applyAlignment="1">
      <alignment horizontal="center"/>
    </xf>
    <xf numFmtId="0" fontId="1" fillId="2" borderId="6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left"/>
    </xf>
    <xf numFmtId="2" fontId="1" fillId="2" borderId="9" xfId="0" applyNumberFormat="1" applyFont="1" applyFill="1" applyBorder="1" applyAlignment="1">
      <alignment horizontal="center"/>
    </xf>
    <xf numFmtId="2" fontId="1" fillId="3" borderId="9" xfId="0" applyNumberFormat="1" applyFont="1" applyFill="1" applyBorder="1" applyAlignment="1">
      <alignment horizontal="center"/>
    </xf>
    <xf numFmtId="2" fontId="1" fillId="3" borderId="14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1" fillId="2" borderId="5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1" fontId="25" fillId="2" borderId="1" xfId="0" applyNumberFormat="1" applyFont="1" applyFill="1" applyBorder="1" applyAlignment="1">
      <alignment horizontal="center" vertical="center"/>
    </xf>
    <xf numFmtId="1" fontId="25" fillId="3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5" fillId="3" borderId="1" xfId="0" applyNumberFormat="1" applyFont="1" applyFill="1" applyBorder="1" applyAlignment="1">
      <alignment horizontal="center" vertical="center"/>
    </xf>
    <xf numFmtId="164" fontId="25" fillId="3" borderId="1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58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49" fontId="16" fillId="2" borderId="10" xfId="1" applyNumberFormat="1" applyFont="1" applyFill="1" applyBorder="1" applyAlignment="1" applyProtection="1">
      <alignment horizontal="center" vertical="center"/>
    </xf>
    <xf numFmtId="49" fontId="16" fillId="2" borderId="5" xfId="1" applyNumberFormat="1" applyFont="1" applyFill="1" applyBorder="1" applyAlignment="1" applyProtection="1">
      <alignment horizontal="center" vertical="center"/>
    </xf>
    <xf numFmtId="49" fontId="16" fillId="2" borderId="2" xfId="1" applyNumberFormat="1" applyFont="1" applyFill="1" applyBorder="1" applyAlignment="1" applyProtection="1">
      <alignment horizontal="center" vertical="center"/>
    </xf>
    <xf numFmtId="49" fontId="16" fillId="2" borderId="58" xfId="1" applyNumberFormat="1" applyFont="1" applyFill="1" applyBorder="1" applyAlignment="1" applyProtection="1">
      <alignment horizontal="center" vertical="center"/>
    </xf>
    <xf numFmtId="49" fontId="16" fillId="2" borderId="2" xfId="1" applyNumberFormat="1" applyFont="1" applyFill="1" applyBorder="1" applyAlignment="1" applyProtection="1">
      <alignment horizontal="center" vertical="center" wrapText="1"/>
    </xf>
    <xf numFmtId="49" fontId="16" fillId="2" borderId="58" xfId="1" applyNumberFormat="1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16" fillId="2" borderId="24" xfId="1" applyNumberFormat="1" applyFont="1" applyFill="1" applyBorder="1" applyAlignment="1" applyProtection="1">
      <alignment horizontal="center" vertical="center"/>
    </xf>
    <xf numFmtId="49" fontId="16" fillId="2" borderId="55" xfId="1" applyNumberFormat="1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18" fillId="2" borderId="57" xfId="0" applyFont="1" applyFill="1" applyBorder="1" applyAlignment="1">
      <alignment horizontal="center" vertical="center" textRotation="90"/>
    </xf>
    <xf numFmtId="0" fontId="18" fillId="2" borderId="60" xfId="0" applyFont="1" applyFill="1" applyBorder="1" applyAlignment="1">
      <alignment horizontal="center" vertical="center" textRotation="90"/>
    </xf>
    <xf numFmtId="49" fontId="16" fillId="2" borderId="10" xfId="1" applyNumberFormat="1" applyFont="1" applyFill="1" applyBorder="1" applyAlignment="1" applyProtection="1">
      <alignment horizontal="center" vertical="center" wrapText="1"/>
    </xf>
    <xf numFmtId="49" fontId="16" fillId="2" borderId="64" xfId="1" applyNumberFormat="1" applyFont="1" applyFill="1" applyBorder="1" applyAlignment="1" applyProtection="1">
      <alignment horizontal="center" vertical="center" wrapText="1"/>
    </xf>
    <xf numFmtId="0" fontId="18" fillId="2" borderId="59" xfId="0" applyFont="1" applyFill="1" applyBorder="1" applyAlignment="1">
      <alignment horizontal="center" vertical="center" textRotation="90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40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center" vertical="center" wrapText="1"/>
    </xf>
    <xf numFmtId="49" fontId="15" fillId="4" borderId="52" xfId="1" applyNumberFormat="1" applyFont="1" applyFill="1" applyBorder="1" applyAlignment="1" applyProtection="1">
      <alignment horizontal="center" vertical="center"/>
    </xf>
    <xf numFmtId="49" fontId="15" fillId="4" borderId="56" xfId="1" applyNumberFormat="1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5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5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18" fillId="2" borderId="19" xfId="0" applyFont="1" applyFill="1" applyBorder="1" applyAlignment="1">
      <alignment horizontal="center" vertical="center" textRotation="90"/>
    </xf>
    <xf numFmtId="0" fontId="18" fillId="2" borderId="20" xfId="0" applyFont="1" applyFill="1" applyBorder="1" applyAlignment="1">
      <alignment horizontal="center" vertical="center" textRotation="90"/>
    </xf>
    <xf numFmtId="0" fontId="18" fillId="2" borderId="42" xfId="0" applyFont="1" applyFill="1" applyBorder="1" applyAlignment="1">
      <alignment horizontal="center" vertical="center" textRotation="90"/>
    </xf>
    <xf numFmtId="49" fontId="16" fillId="2" borderId="15" xfId="1" applyNumberFormat="1" applyFont="1" applyFill="1" applyBorder="1" applyAlignment="1" applyProtection="1">
      <alignment horizontal="center" vertical="center"/>
    </xf>
    <xf numFmtId="49" fontId="16" fillId="2" borderId="16" xfId="1" applyNumberFormat="1" applyFont="1" applyFill="1" applyBorder="1" applyAlignment="1" applyProtection="1">
      <alignment horizontal="center" vertical="center"/>
    </xf>
    <xf numFmtId="0" fontId="18" fillId="2" borderId="21" xfId="0" applyFont="1" applyFill="1" applyBorder="1" applyAlignment="1">
      <alignment horizontal="center" vertical="center" textRotation="90"/>
    </xf>
    <xf numFmtId="49" fontId="16" fillId="2" borderId="15" xfId="1" applyNumberFormat="1" applyFont="1" applyFill="1" applyBorder="1" applyAlignment="1" applyProtection="1">
      <alignment horizontal="center" vertical="center" wrapText="1"/>
    </xf>
    <xf numFmtId="49" fontId="16" fillId="2" borderId="48" xfId="1" applyNumberFormat="1" applyFont="1" applyFill="1" applyBorder="1" applyAlignment="1" applyProtection="1">
      <alignment horizontal="center" vertical="center" wrapText="1"/>
    </xf>
    <xf numFmtId="0" fontId="5" fillId="6" borderId="56" xfId="0" applyFont="1" applyFill="1" applyBorder="1" applyAlignment="1">
      <alignment horizontal="center" vertical="center"/>
    </xf>
    <xf numFmtId="0" fontId="5" fillId="6" borderId="65" xfId="0" applyFont="1" applyFill="1" applyBorder="1" applyAlignment="1">
      <alignment horizontal="center" vertical="center"/>
    </xf>
    <xf numFmtId="0" fontId="5" fillId="2" borderId="56" xfId="0" applyFont="1" applyFill="1" applyBorder="1" applyAlignment="1">
      <alignment horizontal="center" vertical="center"/>
    </xf>
    <xf numFmtId="0" fontId="5" fillId="2" borderId="66" xfId="0" applyFont="1" applyFill="1" applyBorder="1" applyAlignment="1">
      <alignment horizontal="center" vertical="center"/>
    </xf>
    <xf numFmtId="0" fontId="1" fillId="6" borderId="56" xfId="0" applyFont="1" applyFill="1" applyBorder="1" applyAlignment="1">
      <alignment horizontal="center" vertical="center" wrapText="1"/>
    </xf>
    <xf numFmtId="0" fontId="1" fillId="6" borderId="65" xfId="0" applyFont="1" applyFill="1" applyBorder="1" applyAlignment="1">
      <alignment horizontal="center" vertical="center" wrapText="1"/>
    </xf>
    <xf numFmtId="0" fontId="5" fillId="2" borderId="65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 wrapText="1"/>
    </xf>
    <xf numFmtId="0" fontId="1" fillId="6" borderId="6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2" borderId="29" xfId="0" applyFont="1" applyFill="1" applyBorder="1" applyAlignment="1">
      <alignment horizontal="center" vertical="center" textRotation="90"/>
    </xf>
    <xf numFmtId="0" fontId="2" fillId="2" borderId="30" xfId="0" applyFont="1" applyFill="1" applyBorder="1" applyAlignment="1">
      <alignment horizontal="center" vertical="center" textRotation="90"/>
    </xf>
    <xf numFmtId="0" fontId="2" fillId="2" borderId="31" xfId="0" applyFont="1" applyFill="1" applyBorder="1" applyAlignment="1">
      <alignment horizontal="center" vertical="center" textRotation="90"/>
    </xf>
    <xf numFmtId="0" fontId="2" fillId="3" borderId="19" xfId="0" applyFont="1" applyFill="1" applyBorder="1" applyAlignment="1">
      <alignment vertical="center" textRotation="90"/>
    </xf>
    <xf numFmtId="0" fontId="2" fillId="3" borderId="20" xfId="0" applyFont="1" applyFill="1" applyBorder="1" applyAlignment="1">
      <alignment vertical="center" textRotation="90"/>
    </xf>
    <xf numFmtId="0" fontId="2" fillId="3" borderId="21" xfId="0" applyFont="1" applyFill="1" applyBorder="1" applyAlignment="1">
      <alignment vertical="center" textRotation="90"/>
    </xf>
    <xf numFmtId="0" fontId="2" fillId="2" borderId="44" xfId="0" applyFont="1" applyFill="1" applyBorder="1" applyAlignment="1">
      <alignment horizontal="center" vertical="center" textRotation="90"/>
    </xf>
    <xf numFmtId="0" fontId="2" fillId="2" borderId="47" xfId="0" applyFont="1" applyFill="1" applyBorder="1" applyAlignment="1">
      <alignment horizontal="center" vertical="center" textRotation="90"/>
    </xf>
    <xf numFmtId="0" fontId="2" fillId="2" borderId="45" xfId="0" applyFont="1" applyFill="1" applyBorder="1" applyAlignment="1">
      <alignment horizontal="center" vertical="center" textRotation="90"/>
    </xf>
    <xf numFmtId="0" fontId="2" fillId="2" borderId="61" xfId="0" applyFont="1" applyFill="1" applyBorder="1" applyAlignment="1">
      <alignment horizontal="center" vertical="center" textRotation="90"/>
    </xf>
    <xf numFmtId="0" fontId="2" fillId="2" borderId="27" xfId="0" applyFont="1" applyFill="1" applyBorder="1" applyAlignment="1">
      <alignment horizontal="center" vertical="center" textRotation="90"/>
    </xf>
    <xf numFmtId="0" fontId="2" fillId="2" borderId="28" xfId="0" applyFont="1" applyFill="1" applyBorder="1" applyAlignment="1">
      <alignment horizontal="center" vertical="center" textRotation="90"/>
    </xf>
    <xf numFmtId="0" fontId="2" fillId="2" borderId="2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vertical="center" textRotation="90"/>
    </xf>
    <xf numFmtId="0" fontId="8" fillId="3" borderId="20" xfId="0" applyFont="1" applyFill="1" applyBorder="1" applyAlignment="1">
      <alignment vertical="center" textRotation="90"/>
    </xf>
    <xf numFmtId="0" fontId="8" fillId="3" borderId="21" xfId="0" applyFont="1" applyFill="1" applyBorder="1" applyAlignment="1">
      <alignment vertical="center" textRotation="90"/>
    </xf>
    <xf numFmtId="0" fontId="3" fillId="0" borderId="0" xfId="0" applyFont="1"/>
    <xf numFmtId="0" fontId="23" fillId="2" borderId="2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2" borderId="44" xfId="0" applyFont="1" applyFill="1" applyBorder="1" applyAlignment="1">
      <alignment vertical="center" textRotation="90"/>
    </xf>
    <xf numFmtId="0" fontId="2" fillId="2" borderId="47" xfId="0" applyFont="1" applyFill="1" applyBorder="1" applyAlignment="1">
      <alignment vertical="center" textRotation="90"/>
    </xf>
    <xf numFmtId="0" fontId="1" fillId="0" borderId="2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68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6" xfId="0" applyFont="1" applyBorder="1"/>
    <xf numFmtId="0" fontId="1" fillId="0" borderId="7" xfId="0" applyFont="1" applyBorder="1"/>
    <xf numFmtId="0" fontId="1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3" fillId="2" borderId="34" xfId="0" applyFont="1" applyFill="1" applyBorder="1" applyAlignment="1">
      <alignment horizontal="center"/>
    </xf>
    <xf numFmtId="0" fontId="1" fillId="0" borderId="40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66"/>
      <color rgb="FF99FF99"/>
      <color rgb="FF99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zoomScale="90" zoomScaleNormal="90" zoomScalePageLayoutView="60" workbookViewId="0">
      <selection activeCell="H9" sqref="H9:I9"/>
    </sheetView>
  </sheetViews>
  <sheetFormatPr defaultRowHeight="12.75" x14ac:dyDescent="0.2"/>
  <cols>
    <col min="1" max="1" width="3.42578125" style="76" customWidth="1"/>
    <col min="2" max="2" width="5.7109375" style="78" customWidth="1"/>
    <col min="3" max="3" width="11.42578125" style="76" customWidth="1"/>
    <col min="4" max="4" width="11" style="76" customWidth="1"/>
    <col min="5" max="5" width="12" style="76" customWidth="1"/>
    <col min="6" max="7" width="12.7109375" style="76" customWidth="1"/>
    <col min="8" max="8" width="12.85546875" style="76" customWidth="1"/>
    <col min="9" max="9" width="11.42578125" style="76" customWidth="1"/>
    <col min="10" max="10" width="14.140625" style="76" customWidth="1"/>
    <col min="11" max="11" width="7.7109375" style="76" customWidth="1"/>
    <col min="12" max="12" width="9.140625" style="76"/>
    <col min="13" max="13" width="15.5703125" style="76" customWidth="1"/>
    <col min="14" max="14" width="27" style="76" customWidth="1"/>
    <col min="15" max="256" width="9.140625" style="76"/>
    <col min="257" max="257" width="5.42578125" style="76" customWidth="1"/>
    <col min="258" max="258" width="7" style="76" customWidth="1"/>
    <col min="259" max="259" width="11.42578125" style="76" customWidth="1"/>
    <col min="260" max="260" width="11" style="76" customWidth="1"/>
    <col min="261" max="261" width="15" style="76" customWidth="1"/>
    <col min="262" max="263" width="12.7109375" style="76" customWidth="1"/>
    <col min="264" max="264" width="12.85546875" style="76" customWidth="1"/>
    <col min="265" max="265" width="11.42578125" style="76" customWidth="1"/>
    <col min="266" max="266" width="14.140625" style="76" customWidth="1"/>
    <col min="267" max="267" width="7.7109375" style="76" customWidth="1"/>
    <col min="268" max="268" width="9.140625" style="76"/>
    <col min="269" max="269" width="12.140625" style="76" customWidth="1"/>
    <col min="270" max="270" width="22.140625" style="76" customWidth="1"/>
    <col min="271" max="512" width="9.140625" style="76"/>
    <col min="513" max="513" width="5.42578125" style="76" customWidth="1"/>
    <col min="514" max="514" width="7" style="76" customWidth="1"/>
    <col min="515" max="515" width="11.42578125" style="76" customWidth="1"/>
    <col min="516" max="516" width="11" style="76" customWidth="1"/>
    <col min="517" max="517" width="15" style="76" customWidth="1"/>
    <col min="518" max="519" width="12.7109375" style="76" customWidth="1"/>
    <col min="520" max="520" width="12.85546875" style="76" customWidth="1"/>
    <col min="521" max="521" width="11.42578125" style="76" customWidth="1"/>
    <col min="522" max="522" width="14.140625" style="76" customWidth="1"/>
    <col min="523" max="523" width="7.7109375" style="76" customWidth="1"/>
    <col min="524" max="524" width="9.140625" style="76"/>
    <col min="525" max="525" width="12.140625" style="76" customWidth="1"/>
    <col min="526" max="526" width="22.140625" style="76" customWidth="1"/>
    <col min="527" max="768" width="9.140625" style="76"/>
    <col min="769" max="769" width="5.42578125" style="76" customWidth="1"/>
    <col min="770" max="770" width="7" style="76" customWidth="1"/>
    <col min="771" max="771" width="11.42578125" style="76" customWidth="1"/>
    <col min="772" max="772" width="11" style="76" customWidth="1"/>
    <col min="773" max="773" width="15" style="76" customWidth="1"/>
    <col min="774" max="775" width="12.7109375" style="76" customWidth="1"/>
    <col min="776" max="776" width="12.85546875" style="76" customWidth="1"/>
    <col min="777" max="777" width="11.42578125" style="76" customWidth="1"/>
    <col min="778" max="778" width="14.140625" style="76" customWidth="1"/>
    <col min="779" max="779" width="7.7109375" style="76" customWidth="1"/>
    <col min="780" max="780" width="9.140625" style="76"/>
    <col min="781" max="781" width="12.140625" style="76" customWidth="1"/>
    <col min="782" max="782" width="22.140625" style="76" customWidth="1"/>
    <col min="783" max="1024" width="9.140625" style="76"/>
    <col min="1025" max="1025" width="5.42578125" style="76" customWidth="1"/>
    <col min="1026" max="1026" width="7" style="76" customWidth="1"/>
    <col min="1027" max="1027" width="11.42578125" style="76" customWidth="1"/>
    <col min="1028" max="1028" width="11" style="76" customWidth="1"/>
    <col min="1029" max="1029" width="15" style="76" customWidth="1"/>
    <col min="1030" max="1031" width="12.7109375" style="76" customWidth="1"/>
    <col min="1032" max="1032" width="12.85546875" style="76" customWidth="1"/>
    <col min="1033" max="1033" width="11.42578125" style="76" customWidth="1"/>
    <col min="1034" max="1034" width="14.140625" style="76" customWidth="1"/>
    <col min="1035" max="1035" width="7.7109375" style="76" customWidth="1"/>
    <col min="1036" max="1036" width="9.140625" style="76"/>
    <col min="1037" max="1037" width="12.140625" style="76" customWidth="1"/>
    <col min="1038" max="1038" width="22.140625" style="76" customWidth="1"/>
    <col min="1039" max="1280" width="9.140625" style="76"/>
    <col min="1281" max="1281" width="5.42578125" style="76" customWidth="1"/>
    <col min="1282" max="1282" width="7" style="76" customWidth="1"/>
    <col min="1283" max="1283" width="11.42578125" style="76" customWidth="1"/>
    <col min="1284" max="1284" width="11" style="76" customWidth="1"/>
    <col min="1285" max="1285" width="15" style="76" customWidth="1"/>
    <col min="1286" max="1287" width="12.7109375" style="76" customWidth="1"/>
    <col min="1288" max="1288" width="12.85546875" style="76" customWidth="1"/>
    <col min="1289" max="1289" width="11.42578125" style="76" customWidth="1"/>
    <col min="1290" max="1290" width="14.140625" style="76" customWidth="1"/>
    <col min="1291" max="1291" width="7.7109375" style="76" customWidth="1"/>
    <col min="1292" max="1292" width="9.140625" style="76"/>
    <col min="1293" max="1293" width="12.140625" style="76" customWidth="1"/>
    <col min="1294" max="1294" width="22.140625" style="76" customWidth="1"/>
    <col min="1295" max="1536" width="9.140625" style="76"/>
    <col min="1537" max="1537" width="5.42578125" style="76" customWidth="1"/>
    <col min="1538" max="1538" width="7" style="76" customWidth="1"/>
    <col min="1539" max="1539" width="11.42578125" style="76" customWidth="1"/>
    <col min="1540" max="1540" width="11" style="76" customWidth="1"/>
    <col min="1541" max="1541" width="15" style="76" customWidth="1"/>
    <col min="1542" max="1543" width="12.7109375" style="76" customWidth="1"/>
    <col min="1544" max="1544" width="12.85546875" style="76" customWidth="1"/>
    <col min="1545" max="1545" width="11.42578125" style="76" customWidth="1"/>
    <col min="1546" max="1546" width="14.140625" style="76" customWidth="1"/>
    <col min="1547" max="1547" width="7.7109375" style="76" customWidth="1"/>
    <col min="1548" max="1548" width="9.140625" style="76"/>
    <col min="1549" max="1549" width="12.140625" style="76" customWidth="1"/>
    <col min="1550" max="1550" width="22.140625" style="76" customWidth="1"/>
    <col min="1551" max="1792" width="9.140625" style="76"/>
    <col min="1793" max="1793" width="5.42578125" style="76" customWidth="1"/>
    <col min="1794" max="1794" width="7" style="76" customWidth="1"/>
    <col min="1795" max="1795" width="11.42578125" style="76" customWidth="1"/>
    <col min="1796" max="1796" width="11" style="76" customWidth="1"/>
    <col min="1797" max="1797" width="15" style="76" customWidth="1"/>
    <col min="1798" max="1799" width="12.7109375" style="76" customWidth="1"/>
    <col min="1800" max="1800" width="12.85546875" style="76" customWidth="1"/>
    <col min="1801" max="1801" width="11.42578125" style="76" customWidth="1"/>
    <col min="1802" max="1802" width="14.140625" style="76" customWidth="1"/>
    <col min="1803" max="1803" width="7.7109375" style="76" customWidth="1"/>
    <col min="1804" max="1804" width="9.140625" style="76"/>
    <col min="1805" max="1805" width="12.140625" style="76" customWidth="1"/>
    <col min="1806" max="1806" width="22.140625" style="76" customWidth="1"/>
    <col min="1807" max="2048" width="9.140625" style="76"/>
    <col min="2049" max="2049" width="5.42578125" style="76" customWidth="1"/>
    <col min="2050" max="2050" width="7" style="76" customWidth="1"/>
    <col min="2051" max="2051" width="11.42578125" style="76" customWidth="1"/>
    <col min="2052" max="2052" width="11" style="76" customWidth="1"/>
    <col min="2053" max="2053" width="15" style="76" customWidth="1"/>
    <col min="2054" max="2055" width="12.7109375" style="76" customWidth="1"/>
    <col min="2056" max="2056" width="12.85546875" style="76" customWidth="1"/>
    <col min="2057" max="2057" width="11.42578125" style="76" customWidth="1"/>
    <col min="2058" max="2058" width="14.140625" style="76" customWidth="1"/>
    <col min="2059" max="2059" width="7.7109375" style="76" customWidth="1"/>
    <col min="2060" max="2060" width="9.140625" style="76"/>
    <col min="2061" max="2061" width="12.140625" style="76" customWidth="1"/>
    <col min="2062" max="2062" width="22.140625" style="76" customWidth="1"/>
    <col min="2063" max="2304" width="9.140625" style="76"/>
    <col min="2305" max="2305" width="5.42578125" style="76" customWidth="1"/>
    <col min="2306" max="2306" width="7" style="76" customWidth="1"/>
    <col min="2307" max="2307" width="11.42578125" style="76" customWidth="1"/>
    <col min="2308" max="2308" width="11" style="76" customWidth="1"/>
    <col min="2309" max="2309" width="15" style="76" customWidth="1"/>
    <col min="2310" max="2311" width="12.7109375" style="76" customWidth="1"/>
    <col min="2312" max="2312" width="12.85546875" style="76" customWidth="1"/>
    <col min="2313" max="2313" width="11.42578125" style="76" customWidth="1"/>
    <col min="2314" max="2314" width="14.140625" style="76" customWidth="1"/>
    <col min="2315" max="2315" width="7.7109375" style="76" customWidth="1"/>
    <col min="2316" max="2316" width="9.140625" style="76"/>
    <col min="2317" max="2317" width="12.140625" style="76" customWidth="1"/>
    <col min="2318" max="2318" width="22.140625" style="76" customWidth="1"/>
    <col min="2319" max="2560" width="9.140625" style="76"/>
    <col min="2561" max="2561" width="5.42578125" style="76" customWidth="1"/>
    <col min="2562" max="2562" width="7" style="76" customWidth="1"/>
    <col min="2563" max="2563" width="11.42578125" style="76" customWidth="1"/>
    <col min="2564" max="2564" width="11" style="76" customWidth="1"/>
    <col min="2565" max="2565" width="15" style="76" customWidth="1"/>
    <col min="2566" max="2567" width="12.7109375" style="76" customWidth="1"/>
    <col min="2568" max="2568" width="12.85546875" style="76" customWidth="1"/>
    <col min="2569" max="2569" width="11.42578125" style="76" customWidth="1"/>
    <col min="2570" max="2570" width="14.140625" style="76" customWidth="1"/>
    <col min="2571" max="2571" width="7.7109375" style="76" customWidth="1"/>
    <col min="2572" max="2572" width="9.140625" style="76"/>
    <col min="2573" max="2573" width="12.140625" style="76" customWidth="1"/>
    <col min="2574" max="2574" width="22.140625" style="76" customWidth="1"/>
    <col min="2575" max="2816" width="9.140625" style="76"/>
    <col min="2817" max="2817" width="5.42578125" style="76" customWidth="1"/>
    <col min="2818" max="2818" width="7" style="76" customWidth="1"/>
    <col min="2819" max="2819" width="11.42578125" style="76" customWidth="1"/>
    <col min="2820" max="2820" width="11" style="76" customWidth="1"/>
    <col min="2821" max="2821" width="15" style="76" customWidth="1"/>
    <col min="2822" max="2823" width="12.7109375" style="76" customWidth="1"/>
    <col min="2824" max="2824" width="12.85546875" style="76" customWidth="1"/>
    <col min="2825" max="2825" width="11.42578125" style="76" customWidth="1"/>
    <col min="2826" max="2826" width="14.140625" style="76" customWidth="1"/>
    <col min="2827" max="2827" width="7.7109375" style="76" customWidth="1"/>
    <col min="2828" max="2828" width="9.140625" style="76"/>
    <col min="2829" max="2829" width="12.140625" style="76" customWidth="1"/>
    <col min="2830" max="2830" width="22.140625" style="76" customWidth="1"/>
    <col min="2831" max="3072" width="9.140625" style="76"/>
    <col min="3073" max="3073" width="5.42578125" style="76" customWidth="1"/>
    <col min="3074" max="3074" width="7" style="76" customWidth="1"/>
    <col min="3075" max="3075" width="11.42578125" style="76" customWidth="1"/>
    <col min="3076" max="3076" width="11" style="76" customWidth="1"/>
    <col min="3077" max="3077" width="15" style="76" customWidth="1"/>
    <col min="3078" max="3079" width="12.7109375" style="76" customWidth="1"/>
    <col min="3080" max="3080" width="12.85546875" style="76" customWidth="1"/>
    <col min="3081" max="3081" width="11.42578125" style="76" customWidth="1"/>
    <col min="3082" max="3082" width="14.140625" style="76" customWidth="1"/>
    <col min="3083" max="3083" width="7.7109375" style="76" customWidth="1"/>
    <col min="3084" max="3084" width="9.140625" style="76"/>
    <col min="3085" max="3085" width="12.140625" style="76" customWidth="1"/>
    <col min="3086" max="3086" width="22.140625" style="76" customWidth="1"/>
    <col min="3087" max="3328" width="9.140625" style="76"/>
    <col min="3329" max="3329" width="5.42578125" style="76" customWidth="1"/>
    <col min="3330" max="3330" width="7" style="76" customWidth="1"/>
    <col min="3331" max="3331" width="11.42578125" style="76" customWidth="1"/>
    <col min="3332" max="3332" width="11" style="76" customWidth="1"/>
    <col min="3333" max="3333" width="15" style="76" customWidth="1"/>
    <col min="3334" max="3335" width="12.7109375" style="76" customWidth="1"/>
    <col min="3336" max="3336" width="12.85546875" style="76" customWidth="1"/>
    <col min="3337" max="3337" width="11.42578125" style="76" customWidth="1"/>
    <col min="3338" max="3338" width="14.140625" style="76" customWidth="1"/>
    <col min="3339" max="3339" width="7.7109375" style="76" customWidth="1"/>
    <col min="3340" max="3340" width="9.140625" style="76"/>
    <col min="3341" max="3341" width="12.140625" style="76" customWidth="1"/>
    <col min="3342" max="3342" width="22.140625" style="76" customWidth="1"/>
    <col min="3343" max="3584" width="9.140625" style="76"/>
    <col min="3585" max="3585" width="5.42578125" style="76" customWidth="1"/>
    <col min="3586" max="3586" width="7" style="76" customWidth="1"/>
    <col min="3587" max="3587" width="11.42578125" style="76" customWidth="1"/>
    <col min="3588" max="3588" width="11" style="76" customWidth="1"/>
    <col min="3589" max="3589" width="15" style="76" customWidth="1"/>
    <col min="3590" max="3591" width="12.7109375" style="76" customWidth="1"/>
    <col min="3592" max="3592" width="12.85546875" style="76" customWidth="1"/>
    <col min="3593" max="3593" width="11.42578125" style="76" customWidth="1"/>
    <col min="3594" max="3594" width="14.140625" style="76" customWidth="1"/>
    <col min="3595" max="3595" width="7.7109375" style="76" customWidth="1"/>
    <col min="3596" max="3596" width="9.140625" style="76"/>
    <col min="3597" max="3597" width="12.140625" style="76" customWidth="1"/>
    <col min="3598" max="3598" width="22.140625" style="76" customWidth="1"/>
    <col min="3599" max="3840" width="9.140625" style="76"/>
    <col min="3841" max="3841" width="5.42578125" style="76" customWidth="1"/>
    <col min="3842" max="3842" width="7" style="76" customWidth="1"/>
    <col min="3843" max="3843" width="11.42578125" style="76" customWidth="1"/>
    <col min="3844" max="3844" width="11" style="76" customWidth="1"/>
    <col min="3845" max="3845" width="15" style="76" customWidth="1"/>
    <col min="3846" max="3847" width="12.7109375" style="76" customWidth="1"/>
    <col min="3848" max="3848" width="12.85546875" style="76" customWidth="1"/>
    <col min="3849" max="3849" width="11.42578125" style="76" customWidth="1"/>
    <col min="3850" max="3850" width="14.140625" style="76" customWidth="1"/>
    <col min="3851" max="3851" width="7.7109375" style="76" customWidth="1"/>
    <col min="3852" max="3852" width="9.140625" style="76"/>
    <col min="3853" max="3853" width="12.140625" style="76" customWidth="1"/>
    <col min="3854" max="3854" width="22.140625" style="76" customWidth="1"/>
    <col min="3855" max="4096" width="9.140625" style="76"/>
    <col min="4097" max="4097" width="5.42578125" style="76" customWidth="1"/>
    <col min="4098" max="4098" width="7" style="76" customWidth="1"/>
    <col min="4099" max="4099" width="11.42578125" style="76" customWidth="1"/>
    <col min="4100" max="4100" width="11" style="76" customWidth="1"/>
    <col min="4101" max="4101" width="15" style="76" customWidth="1"/>
    <col min="4102" max="4103" width="12.7109375" style="76" customWidth="1"/>
    <col min="4104" max="4104" width="12.85546875" style="76" customWidth="1"/>
    <col min="4105" max="4105" width="11.42578125" style="76" customWidth="1"/>
    <col min="4106" max="4106" width="14.140625" style="76" customWidth="1"/>
    <col min="4107" max="4107" width="7.7109375" style="76" customWidth="1"/>
    <col min="4108" max="4108" width="9.140625" style="76"/>
    <col min="4109" max="4109" width="12.140625" style="76" customWidth="1"/>
    <col min="4110" max="4110" width="22.140625" style="76" customWidth="1"/>
    <col min="4111" max="4352" width="9.140625" style="76"/>
    <col min="4353" max="4353" width="5.42578125" style="76" customWidth="1"/>
    <col min="4354" max="4354" width="7" style="76" customWidth="1"/>
    <col min="4355" max="4355" width="11.42578125" style="76" customWidth="1"/>
    <col min="4356" max="4356" width="11" style="76" customWidth="1"/>
    <col min="4357" max="4357" width="15" style="76" customWidth="1"/>
    <col min="4358" max="4359" width="12.7109375" style="76" customWidth="1"/>
    <col min="4360" max="4360" width="12.85546875" style="76" customWidth="1"/>
    <col min="4361" max="4361" width="11.42578125" style="76" customWidth="1"/>
    <col min="4362" max="4362" width="14.140625" style="76" customWidth="1"/>
    <col min="4363" max="4363" width="7.7109375" style="76" customWidth="1"/>
    <col min="4364" max="4364" width="9.140625" style="76"/>
    <col min="4365" max="4365" width="12.140625" style="76" customWidth="1"/>
    <col min="4366" max="4366" width="22.140625" style="76" customWidth="1"/>
    <col min="4367" max="4608" width="9.140625" style="76"/>
    <col min="4609" max="4609" width="5.42578125" style="76" customWidth="1"/>
    <col min="4610" max="4610" width="7" style="76" customWidth="1"/>
    <col min="4611" max="4611" width="11.42578125" style="76" customWidth="1"/>
    <col min="4612" max="4612" width="11" style="76" customWidth="1"/>
    <col min="4613" max="4613" width="15" style="76" customWidth="1"/>
    <col min="4614" max="4615" width="12.7109375" style="76" customWidth="1"/>
    <col min="4616" max="4616" width="12.85546875" style="76" customWidth="1"/>
    <col min="4617" max="4617" width="11.42578125" style="76" customWidth="1"/>
    <col min="4618" max="4618" width="14.140625" style="76" customWidth="1"/>
    <col min="4619" max="4619" width="7.7109375" style="76" customWidth="1"/>
    <col min="4620" max="4620" width="9.140625" style="76"/>
    <col min="4621" max="4621" width="12.140625" style="76" customWidth="1"/>
    <col min="4622" max="4622" width="22.140625" style="76" customWidth="1"/>
    <col min="4623" max="4864" width="9.140625" style="76"/>
    <col min="4865" max="4865" width="5.42578125" style="76" customWidth="1"/>
    <col min="4866" max="4866" width="7" style="76" customWidth="1"/>
    <col min="4867" max="4867" width="11.42578125" style="76" customWidth="1"/>
    <col min="4868" max="4868" width="11" style="76" customWidth="1"/>
    <col min="4869" max="4869" width="15" style="76" customWidth="1"/>
    <col min="4870" max="4871" width="12.7109375" style="76" customWidth="1"/>
    <col min="4872" max="4872" width="12.85546875" style="76" customWidth="1"/>
    <col min="4873" max="4873" width="11.42578125" style="76" customWidth="1"/>
    <col min="4874" max="4874" width="14.140625" style="76" customWidth="1"/>
    <col min="4875" max="4875" width="7.7109375" style="76" customWidth="1"/>
    <col min="4876" max="4876" width="9.140625" style="76"/>
    <col min="4877" max="4877" width="12.140625" style="76" customWidth="1"/>
    <col min="4878" max="4878" width="22.140625" style="76" customWidth="1"/>
    <col min="4879" max="5120" width="9.140625" style="76"/>
    <col min="5121" max="5121" width="5.42578125" style="76" customWidth="1"/>
    <col min="5122" max="5122" width="7" style="76" customWidth="1"/>
    <col min="5123" max="5123" width="11.42578125" style="76" customWidth="1"/>
    <col min="5124" max="5124" width="11" style="76" customWidth="1"/>
    <col min="5125" max="5125" width="15" style="76" customWidth="1"/>
    <col min="5126" max="5127" width="12.7109375" style="76" customWidth="1"/>
    <col min="5128" max="5128" width="12.85546875" style="76" customWidth="1"/>
    <col min="5129" max="5129" width="11.42578125" style="76" customWidth="1"/>
    <col min="5130" max="5130" width="14.140625" style="76" customWidth="1"/>
    <col min="5131" max="5131" width="7.7109375" style="76" customWidth="1"/>
    <col min="5132" max="5132" width="9.140625" style="76"/>
    <col min="5133" max="5133" width="12.140625" style="76" customWidth="1"/>
    <col min="5134" max="5134" width="22.140625" style="76" customWidth="1"/>
    <col min="5135" max="5376" width="9.140625" style="76"/>
    <col min="5377" max="5377" width="5.42578125" style="76" customWidth="1"/>
    <col min="5378" max="5378" width="7" style="76" customWidth="1"/>
    <col min="5379" max="5379" width="11.42578125" style="76" customWidth="1"/>
    <col min="5380" max="5380" width="11" style="76" customWidth="1"/>
    <col min="5381" max="5381" width="15" style="76" customWidth="1"/>
    <col min="5382" max="5383" width="12.7109375" style="76" customWidth="1"/>
    <col min="5384" max="5384" width="12.85546875" style="76" customWidth="1"/>
    <col min="5385" max="5385" width="11.42578125" style="76" customWidth="1"/>
    <col min="5386" max="5386" width="14.140625" style="76" customWidth="1"/>
    <col min="5387" max="5387" width="7.7109375" style="76" customWidth="1"/>
    <col min="5388" max="5388" width="9.140625" style="76"/>
    <col min="5389" max="5389" width="12.140625" style="76" customWidth="1"/>
    <col min="5390" max="5390" width="22.140625" style="76" customWidth="1"/>
    <col min="5391" max="5632" width="9.140625" style="76"/>
    <col min="5633" max="5633" width="5.42578125" style="76" customWidth="1"/>
    <col min="5634" max="5634" width="7" style="76" customWidth="1"/>
    <col min="5635" max="5635" width="11.42578125" style="76" customWidth="1"/>
    <col min="5636" max="5636" width="11" style="76" customWidth="1"/>
    <col min="5637" max="5637" width="15" style="76" customWidth="1"/>
    <col min="5638" max="5639" width="12.7109375" style="76" customWidth="1"/>
    <col min="5640" max="5640" width="12.85546875" style="76" customWidth="1"/>
    <col min="5641" max="5641" width="11.42578125" style="76" customWidth="1"/>
    <col min="5642" max="5642" width="14.140625" style="76" customWidth="1"/>
    <col min="5643" max="5643" width="7.7109375" style="76" customWidth="1"/>
    <col min="5644" max="5644" width="9.140625" style="76"/>
    <col min="5645" max="5645" width="12.140625" style="76" customWidth="1"/>
    <col min="5646" max="5646" width="22.140625" style="76" customWidth="1"/>
    <col min="5647" max="5888" width="9.140625" style="76"/>
    <col min="5889" max="5889" width="5.42578125" style="76" customWidth="1"/>
    <col min="5890" max="5890" width="7" style="76" customWidth="1"/>
    <col min="5891" max="5891" width="11.42578125" style="76" customWidth="1"/>
    <col min="5892" max="5892" width="11" style="76" customWidth="1"/>
    <col min="5893" max="5893" width="15" style="76" customWidth="1"/>
    <col min="5894" max="5895" width="12.7109375" style="76" customWidth="1"/>
    <col min="5896" max="5896" width="12.85546875" style="76" customWidth="1"/>
    <col min="5897" max="5897" width="11.42578125" style="76" customWidth="1"/>
    <col min="5898" max="5898" width="14.140625" style="76" customWidth="1"/>
    <col min="5899" max="5899" width="7.7109375" style="76" customWidth="1"/>
    <col min="5900" max="5900" width="9.140625" style="76"/>
    <col min="5901" max="5901" width="12.140625" style="76" customWidth="1"/>
    <col min="5902" max="5902" width="22.140625" style="76" customWidth="1"/>
    <col min="5903" max="6144" width="9.140625" style="76"/>
    <col min="6145" max="6145" width="5.42578125" style="76" customWidth="1"/>
    <col min="6146" max="6146" width="7" style="76" customWidth="1"/>
    <col min="6147" max="6147" width="11.42578125" style="76" customWidth="1"/>
    <col min="6148" max="6148" width="11" style="76" customWidth="1"/>
    <col min="6149" max="6149" width="15" style="76" customWidth="1"/>
    <col min="6150" max="6151" width="12.7109375" style="76" customWidth="1"/>
    <col min="6152" max="6152" width="12.85546875" style="76" customWidth="1"/>
    <col min="6153" max="6153" width="11.42578125" style="76" customWidth="1"/>
    <col min="6154" max="6154" width="14.140625" style="76" customWidth="1"/>
    <col min="6155" max="6155" width="7.7109375" style="76" customWidth="1"/>
    <col min="6156" max="6156" width="9.140625" style="76"/>
    <col min="6157" max="6157" width="12.140625" style="76" customWidth="1"/>
    <col min="6158" max="6158" width="22.140625" style="76" customWidth="1"/>
    <col min="6159" max="6400" width="9.140625" style="76"/>
    <col min="6401" max="6401" width="5.42578125" style="76" customWidth="1"/>
    <col min="6402" max="6402" width="7" style="76" customWidth="1"/>
    <col min="6403" max="6403" width="11.42578125" style="76" customWidth="1"/>
    <col min="6404" max="6404" width="11" style="76" customWidth="1"/>
    <col min="6405" max="6405" width="15" style="76" customWidth="1"/>
    <col min="6406" max="6407" width="12.7109375" style="76" customWidth="1"/>
    <col min="6408" max="6408" width="12.85546875" style="76" customWidth="1"/>
    <col min="6409" max="6409" width="11.42578125" style="76" customWidth="1"/>
    <col min="6410" max="6410" width="14.140625" style="76" customWidth="1"/>
    <col min="6411" max="6411" width="7.7109375" style="76" customWidth="1"/>
    <col min="6412" max="6412" width="9.140625" style="76"/>
    <col min="6413" max="6413" width="12.140625" style="76" customWidth="1"/>
    <col min="6414" max="6414" width="22.140625" style="76" customWidth="1"/>
    <col min="6415" max="6656" width="9.140625" style="76"/>
    <col min="6657" max="6657" width="5.42578125" style="76" customWidth="1"/>
    <col min="6658" max="6658" width="7" style="76" customWidth="1"/>
    <col min="6659" max="6659" width="11.42578125" style="76" customWidth="1"/>
    <col min="6660" max="6660" width="11" style="76" customWidth="1"/>
    <col min="6661" max="6661" width="15" style="76" customWidth="1"/>
    <col min="6662" max="6663" width="12.7109375" style="76" customWidth="1"/>
    <col min="6664" max="6664" width="12.85546875" style="76" customWidth="1"/>
    <col min="6665" max="6665" width="11.42578125" style="76" customWidth="1"/>
    <col min="6666" max="6666" width="14.140625" style="76" customWidth="1"/>
    <col min="6667" max="6667" width="7.7109375" style="76" customWidth="1"/>
    <col min="6668" max="6668" width="9.140625" style="76"/>
    <col min="6669" max="6669" width="12.140625" style="76" customWidth="1"/>
    <col min="6670" max="6670" width="22.140625" style="76" customWidth="1"/>
    <col min="6671" max="6912" width="9.140625" style="76"/>
    <col min="6913" max="6913" width="5.42578125" style="76" customWidth="1"/>
    <col min="6914" max="6914" width="7" style="76" customWidth="1"/>
    <col min="6915" max="6915" width="11.42578125" style="76" customWidth="1"/>
    <col min="6916" max="6916" width="11" style="76" customWidth="1"/>
    <col min="6917" max="6917" width="15" style="76" customWidth="1"/>
    <col min="6918" max="6919" width="12.7109375" style="76" customWidth="1"/>
    <col min="6920" max="6920" width="12.85546875" style="76" customWidth="1"/>
    <col min="6921" max="6921" width="11.42578125" style="76" customWidth="1"/>
    <col min="6922" max="6922" width="14.140625" style="76" customWidth="1"/>
    <col min="6923" max="6923" width="7.7109375" style="76" customWidth="1"/>
    <col min="6924" max="6924" width="9.140625" style="76"/>
    <col min="6925" max="6925" width="12.140625" style="76" customWidth="1"/>
    <col min="6926" max="6926" width="22.140625" style="76" customWidth="1"/>
    <col min="6927" max="7168" width="9.140625" style="76"/>
    <col min="7169" max="7169" width="5.42578125" style="76" customWidth="1"/>
    <col min="7170" max="7170" width="7" style="76" customWidth="1"/>
    <col min="7171" max="7171" width="11.42578125" style="76" customWidth="1"/>
    <col min="7172" max="7172" width="11" style="76" customWidth="1"/>
    <col min="7173" max="7173" width="15" style="76" customWidth="1"/>
    <col min="7174" max="7175" width="12.7109375" style="76" customWidth="1"/>
    <col min="7176" max="7176" width="12.85546875" style="76" customWidth="1"/>
    <col min="7177" max="7177" width="11.42578125" style="76" customWidth="1"/>
    <col min="7178" max="7178" width="14.140625" style="76" customWidth="1"/>
    <col min="7179" max="7179" width="7.7109375" style="76" customWidth="1"/>
    <col min="7180" max="7180" width="9.140625" style="76"/>
    <col min="7181" max="7181" width="12.140625" style="76" customWidth="1"/>
    <col min="7182" max="7182" width="22.140625" style="76" customWidth="1"/>
    <col min="7183" max="7424" width="9.140625" style="76"/>
    <col min="7425" max="7425" width="5.42578125" style="76" customWidth="1"/>
    <col min="7426" max="7426" width="7" style="76" customWidth="1"/>
    <col min="7427" max="7427" width="11.42578125" style="76" customWidth="1"/>
    <col min="7428" max="7428" width="11" style="76" customWidth="1"/>
    <col min="7429" max="7429" width="15" style="76" customWidth="1"/>
    <col min="7430" max="7431" width="12.7109375" style="76" customWidth="1"/>
    <col min="7432" max="7432" width="12.85546875" style="76" customWidth="1"/>
    <col min="7433" max="7433" width="11.42578125" style="76" customWidth="1"/>
    <col min="7434" max="7434" width="14.140625" style="76" customWidth="1"/>
    <col min="7435" max="7435" width="7.7109375" style="76" customWidth="1"/>
    <col min="7436" max="7436" width="9.140625" style="76"/>
    <col min="7437" max="7437" width="12.140625" style="76" customWidth="1"/>
    <col min="7438" max="7438" width="22.140625" style="76" customWidth="1"/>
    <col min="7439" max="7680" width="9.140625" style="76"/>
    <col min="7681" max="7681" width="5.42578125" style="76" customWidth="1"/>
    <col min="7682" max="7682" width="7" style="76" customWidth="1"/>
    <col min="7683" max="7683" width="11.42578125" style="76" customWidth="1"/>
    <col min="7684" max="7684" width="11" style="76" customWidth="1"/>
    <col min="7685" max="7685" width="15" style="76" customWidth="1"/>
    <col min="7686" max="7687" width="12.7109375" style="76" customWidth="1"/>
    <col min="7688" max="7688" width="12.85546875" style="76" customWidth="1"/>
    <col min="7689" max="7689" width="11.42578125" style="76" customWidth="1"/>
    <col min="7690" max="7690" width="14.140625" style="76" customWidth="1"/>
    <col min="7691" max="7691" width="7.7109375" style="76" customWidth="1"/>
    <col min="7692" max="7692" width="9.140625" style="76"/>
    <col min="7693" max="7693" width="12.140625" style="76" customWidth="1"/>
    <col min="7694" max="7694" width="22.140625" style="76" customWidth="1"/>
    <col min="7695" max="7936" width="9.140625" style="76"/>
    <col min="7937" max="7937" width="5.42578125" style="76" customWidth="1"/>
    <col min="7938" max="7938" width="7" style="76" customWidth="1"/>
    <col min="7939" max="7939" width="11.42578125" style="76" customWidth="1"/>
    <col min="7940" max="7940" width="11" style="76" customWidth="1"/>
    <col min="7941" max="7941" width="15" style="76" customWidth="1"/>
    <col min="7942" max="7943" width="12.7109375" style="76" customWidth="1"/>
    <col min="7944" max="7944" width="12.85546875" style="76" customWidth="1"/>
    <col min="7945" max="7945" width="11.42578125" style="76" customWidth="1"/>
    <col min="7946" max="7946" width="14.140625" style="76" customWidth="1"/>
    <col min="7947" max="7947" width="7.7109375" style="76" customWidth="1"/>
    <col min="7948" max="7948" width="9.140625" style="76"/>
    <col min="7949" max="7949" width="12.140625" style="76" customWidth="1"/>
    <col min="7950" max="7950" width="22.140625" style="76" customWidth="1"/>
    <col min="7951" max="8192" width="9.140625" style="76"/>
    <col min="8193" max="8193" width="5.42578125" style="76" customWidth="1"/>
    <col min="8194" max="8194" width="7" style="76" customWidth="1"/>
    <col min="8195" max="8195" width="11.42578125" style="76" customWidth="1"/>
    <col min="8196" max="8196" width="11" style="76" customWidth="1"/>
    <col min="8197" max="8197" width="15" style="76" customWidth="1"/>
    <col min="8198" max="8199" width="12.7109375" style="76" customWidth="1"/>
    <col min="8200" max="8200" width="12.85546875" style="76" customWidth="1"/>
    <col min="8201" max="8201" width="11.42578125" style="76" customWidth="1"/>
    <col min="8202" max="8202" width="14.140625" style="76" customWidth="1"/>
    <col min="8203" max="8203" width="7.7109375" style="76" customWidth="1"/>
    <col min="8204" max="8204" width="9.140625" style="76"/>
    <col min="8205" max="8205" width="12.140625" style="76" customWidth="1"/>
    <col min="8206" max="8206" width="22.140625" style="76" customWidth="1"/>
    <col min="8207" max="8448" width="9.140625" style="76"/>
    <col min="8449" max="8449" width="5.42578125" style="76" customWidth="1"/>
    <col min="8450" max="8450" width="7" style="76" customWidth="1"/>
    <col min="8451" max="8451" width="11.42578125" style="76" customWidth="1"/>
    <col min="8452" max="8452" width="11" style="76" customWidth="1"/>
    <col min="8453" max="8453" width="15" style="76" customWidth="1"/>
    <col min="8454" max="8455" width="12.7109375" style="76" customWidth="1"/>
    <col min="8456" max="8456" width="12.85546875" style="76" customWidth="1"/>
    <col min="8457" max="8457" width="11.42578125" style="76" customWidth="1"/>
    <col min="8458" max="8458" width="14.140625" style="76" customWidth="1"/>
    <col min="8459" max="8459" width="7.7109375" style="76" customWidth="1"/>
    <col min="8460" max="8460" width="9.140625" style="76"/>
    <col min="8461" max="8461" width="12.140625" style="76" customWidth="1"/>
    <col min="8462" max="8462" width="22.140625" style="76" customWidth="1"/>
    <col min="8463" max="8704" width="9.140625" style="76"/>
    <col min="8705" max="8705" width="5.42578125" style="76" customWidth="1"/>
    <col min="8706" max="8706" width="7" style="76" customWidth="1"/>
    <col min="8707" max="8707" width="11.42578125" style="76" customWidth="1"/>
    <col min="8708" max="8708" width="11" style="76" customWidth="1"/>
    <col min="8709" max="8709" width="15" style="76" customWidth="1"/>
    <col min="8710" max="8711" width="12.7109375" style="76" customWidth="1"/>
    <col min="8712" max="8712" width="12.85546875" style="76" customWidth="1"/>
    <col min="8713" max="8713" width="11.42578125" style="76" customWidth="1"/>
    <col min="8714" max="8714" width="14.140625" style="76" customWidth="1"/>
    <col min="8715" max="8715" width="7.7109375" style="76" customWidth="1"/>
    <col min="8716" max="8716" width="9.140625" style="76"/>
    <col min="8717" max="8717" width="12.140625" style="76" customWidth="1"/>
    <col min="8718" max="8718" width="22.140625" style="76" customWidth="1"/>
    <col min="8719" max="8960" width="9.140625" style="76"/>
    <col min="8961" max="8961" width="5.42578125" style="76" customWidth="1"/>
    <col min="8962" max="8962" width="7" style="76" customWidth="1"/>
    <col min="8963" max="8963" width="11.42578125" style="76" customWidth="1"/>
    <col min="8964" max="8964" width="11" style="76" customWidth="1"/>
    <col min="8965" max="8965" width="15" style="76" customWidth="1"/>
    <col min="8966" max="8967" width="12.7109375" style="76" customWidth="1"/>
    <col min="8968" max="8968" width="12.85546875" style="76" customWidth="1"/>
    <col min="8969" max="8969" width="11.42578125" style="76" customWidth="1"/>
    <col min="8970" max="8970" width="14.140625" style="76" customWidth="1"/>
    <col min="8971" max="8971" width="7.7109375" style="76" customWidth="1"/>
    <col min="8972" max="8972" width="9.140625" style="76"/>
    <col min="8973" max="8973" width="12.140625" style="76" customWidth="1"/>
    <col min="8974" max="8974" width="22.140625" style="76" customWidth="1"/>
    <col min="8975" max="9216" width="9.140625" style="76"/>
    <col min="9217" max="9217" width="5.42578125" style="76" customWidth="1"/>
    <col min="9218" max="9218" width="7" style="76" customWidth="1"/>
    <col min="9219" max="9219" width="11.42578125" style="76" customWidth="1"/>
    <col min="9220" max="9220" width="11" style="76" customWidth="1"/>
    <col min="9221" max="9221" width="15" style="76" customWidth="1"/>
    <col min="9222" max="9223" width="12.7109375" style="76" customWidth="1"/>
    <col min="9224" max="9224" width="12.85546875" style="76" customWidth="1"/>
    <col min="9225" max="9225" width="11.42578125" style="76" customWidth="1"/>
    <col min="9226" max="9226" width="14.140625" style="76" customWidth="1"/>
    <col min="9227" max="9227" width="7.7109375" style="76" customWidth="1"/>
    <col min="9228" max="9228" width="9.140625" style="76"/>
    <col min="9229" max="9229" width="12.140625" style="76" customWidth="1"/>
    <col min="9230" max="9230" width="22.140625" style="76" customWidth="1"/>
    <col min="9231" max="9472" width="9.140625" style="76"/>
    <col min="9473" max="9473" width="5.42578125" style="76" customWidth="1"/>
    <col min="9474" max="9474" width="7" style="76" customWidth="1"/>
    <col min="9475" max="9475" width="11.42578125" style="76" customWidth="1"/>
    <col min="9476" max="9476" width="11" style="76" customWidth="1"/>
    <col min="9477" max="9477" width="15" style="76" customWidth="1"/>
    <col min="9478" max="9479" width="12.7109375" style="76" customWidth="1"/>
    <col min="9480" max="9480" width="12.85546875" style="76" customWidth="1"/>
    <col min="9481" max="9481" width="11.42578125" style="76" customWidth="1"/>
    <col min="9482" max="9482" width="14.140625" style="76" customWidth="1"/>
    <col min="9483" max="9483" width="7.7109375" style="76" customWidth="1"/>
    <col min="9484" max="9484" width="9.140625" style="76"/>
    <col min="9485" max="9485" width="12.140625" style="76" customWidth="1"/>
    <col min="9486" max="9486" width="22.140625" style="76" customWidth="1"/>
    <col min="9487" max="9728" width="9.140625" style="76"/>
    <col min="9729" max="9729" width="5.42578125" style="76" customWidth="1"/>
    <col min="9730" max="9730" width="7" style="76" customWidth="1"/>
    <col min="9731" max="9731" width="11.42578125" style="76" customWidth="1"/>
    <col min="9732" max="9732" width="11" style="76" customWidth="1"/>
    <col min="9733" max="9733" width="15" style="76" customWidth="1"/>
    <col min="9734" max="9735" width="12.7109375" style="76" customWidth="1"/>
    <col min="9736" max="9736" width="12.85546875" style="76" customWidth="1"/>
    <col min="9737" max="9737" width="11.42578125" style="76" customWidth="1"/>
    <col min="9738" max="9738" width="14.140625" style="76" customWidth="1"/>
    <col min="9739" max="9739" width="7.7109375" style="76" customWidth="1"/>
    <col min="9740" max="9740" width="9.140625" style="76"/>
    <col min="9741" max="9741" width="12.140625" style="76" customWidth="1"/>
    <col min="9742" max="9742" width="22.140625" style="76" customWidth="1"/>
    <col min="9743" max="9984" width="9.140625" style="76"/>
    <col min="9985" max="9985" width="5.42578125" style="76" customWidth="1"/>
    <col min="9986" max="9986" width="7" style="76" customWidth="1"/>
    <col min="9987" max="9987" width="11.42578125" style="76" customWidth="1"/>
    <col min="9988" max="9988" width="11" style="76" customWidth="1"/>
    <col min="9989" max="9989" width="15" style="76" customWidth="1"/>
    <col min="9990" max="9991" width="12.7109375" style="76" customWidth="1"/>
    <col min="9992" max="9992" width="12.85546875" style="76" customWidth="1"/>
    <col min="9993" max="9993" width="11.42578125" style="76" customWidth="1"/>
    <col min="9994" max="9994" width="14.140625" style="76" customWidth="1"/>
    <col min="9995" max="9995" width="7.7109375" style="76" customWidth="1"/>
    <col min="9996" max="9996" width="9.140625" style="76"/>
    <col min="9997" max="9997" width="12.140625" style="76" customWidth="1"/>
    <col min="9998" max="9998" width="22.140625" style="76" customWidth="1"/>
    <col min="9999" max="10240" width="9.140625" style="76"/>
    <col min="10241" max="10241" width="5.42578125" style="76" customWidth="1"/>
    <col min="10242" max="10242" width="7" style="76" customWidth="1"/>
    <col min="10243" max="10243" width="11.42578125" style="76" customWidth="1"/>
    <col min="10244" max="10244" width="11" style="76" customWidth="1"/>
    <col min="10245" max="10245" width="15" style="76" customWidth="1"/>
    <col min="10246" max="10247" width="12.7109375" style="76" customWidth="1"/>
    <col min="10248" max="10248" width="12.85546875" style="76" customWidth="1"/>
    <col min="10249" max="10249" width="11.42578125" style="76" customWidth="1"/>
    <col min="10250" max="10250" width="14.140625" style="76" customWidth="1"/>
    <col min="10251" max="10251" width="7.7109375" style="76" customWidth="1"/>
    <col min="10252" max="10252" width="9.140625" style="76"/>
    <col min="10253" max="10253" width="12.140625" style="76" customWidth="1"/>
    <col min="10254" max="10254" width="22.140625" style="76" customWidth="1"/>
    <col min="10255" max="10496" width="9.140625" style="76"/>
    <col min="10497" max="10497" width="5.42578125" style="76" customWidth="1"/>
    <col min="10498" max="10498" width="7" style="76" customWidth="1"/>
    <col min="10499" max="10499" width="11.42578125" style="76" customWidth="1"/>
    <col min="10500" max="10500" width="11" style="76" customWidth="1"/>
    <col min="10501" max="10501" width="15" style="76" customWidth="1"/>
    <col min="10502" max="10503" width="12.7109375" style="76" customWidth="1"/>
    <col min="10504" max="10504" width="12.85546875" style="76" customWidth="1"/>
    <col min="10505" max="10505" width="11.42578125" style="76" customWidth="1"/>
    <col min="10506" max="10506" width="14.140625" style="76" customWidth="1"/>
    <col min="10507" max="10507" width="7.7109375" style="76" customWidth="1"/>
    <col min="10508" max="10508" width="9.140625" style="76"/>
    <col min="10509" max="10509" width="12.140625" style="76" customWidth="1"/>
    <col min="10510" max="10510" width="22.140625" style="76" customWidth="1"/>
    <col min="10511" max="10752" width="9.140625" style="76"/>
    <col min="10753" max="10753" width="5.42578125" style="76" customWidth="1"/>
    <col min="10754" max="10754" width="7" style="76" customWidth="1"/>
    <col min="10755" max="10755" width="11.42578125" style="76" customWidth="1"/>
    <col min="10756" max="10756" width="11" style="76" customWidth="1"/>
    <col min="10757" max="10757" width="15" style="76" customWidth="1"/>
    <col min="10758" max="10759" width="12.7109375" style="76" customWidth="1"/>
    <col min="10760" max="10760" width="12.85546875" style="76" customWidth="1"/>
    <col min="10761" max="10761" width="11.42578125" style="76" customWidth="1"/>
    <col min="10762" max="10762" width="14.140625" style="76" customWidth="1"/>
    <col min="10763" max="10763" width="7.7109375" style="76" customWidth="1"/>
    <col min="10764" max="10764" width="9.140625" style="76"/>
    <col min="10765" max="10765" width="12.140625" style="76" customWidth="1"/>
    <col min="10766" max="10766" width="22.140625" style="76" customWidth="1"/>
    <col min="10767" max="11008" width="9.140625" style="76"/>
    <col min="11009" max="11009" width="5.42578125" style="76" customWidth="1"/>
    <col min="11010" max="11010" width="7" style="76" customWidth="1"/>
    <col min="11011" max="11011" width="11.42578125" style="76" customWidth="1"/>
    <col min="11012" max="11012" width="11" style="76" customWidth="1"/>
    <col min="11013" max="11013" width="15" style="76" customWidth="1"/>
    <col min="11014" max="11015" width="12.7109375" style="76" customWidth="1"/>
    <col min="11016" max="11016" width="12.85546875" style="76" customWidth="1"/>
    <col min="11017" max="11017" width="11.42578125" style="76" customWidth="1"/>
    <col min="11018" max="11018" width="14.140625" style="76" customWidth="1"/>
    <col min="11019" max="11019" width="7.7109375" style="76" customWidth="1"/>
    <col min="11020" max="11020" width="9.140625" style="76"/>
    <col min="11021" max="11021" width="12.140625" style="76" customWidth="1"/>
    <col min="11022" max="11022" width="22.140625" style="76" customWidth="1"/>
    <col min="11023" max="11264" width="9.140625" style="76"/>
    <col min="11265" max="11265" width="5.42578125" style="76" customWidth="1"/>
    <col min="11266" max="11266" width="7" style="76" customWidth="1"/>
    <col min="11267" max="11267" width="11.42578125" style="76" customWidth="1"/>
    <col min="11268" max="11268" width="11" style="76" customWidth="1"/>
    <col min="11269" max="11269" width="15" style="76" customWidth="1"/>
    <col min="11270" max="11271" width="12.7109375" style="76" customWidth="1"/>
    <col min="11272" max="11272" width="12.85546875" style="76" customWidth="1"/>
    <col min="11273" max="11273" width="11.42578125" style="76" customWidth="1"/>
    <col min="11274" max="11274" width="14.140625" style="76" customWidth="1"/>
    <col min="11275" max="11275" width="7.7109375" style="76" customWidth="1"/>
    <col min="11276" max="11276" width="9.140625" style="76"/>
    <col min="11277" max="11277" width="12.140625" style="76" customWidth="1"/>
    <col min="11278" max="11278" width="22.140625" style="76" customWidth="1"/>
    <col min="11279" max="11520" width="9.140625" style="76"/>
    <col min="11521" max="11521" width="5.42578125" style="76" customWidth="1"/>
    <col min="11522" max="11522" width="7" style="76" customWidth="1"/>
    <col min="11523" max="11523" width="11.42578125" style="76" customWidth="1"/>
    <col min="11524" max="11524" width="11" style="76" customWidth="1"/>
    <col min="11525" max="11525" width="15" style="76" customWidth="1"/>
    <col min="11526" max="11527" width="12.7109375" style="76" customWidth="1"/>
    <col min="11528" max="11528" width="12.85546875" style="76" customWidth="1"/>
    <col min="11529" max="11529" width="11.42578125" style="76" customWidth="1"/>
    <col min="11530" max="11530" width="14.140625" style="76" customWidth="1"/>
    <col min="11531" max="11531" width="7.7109375" style="76" customWidth="1"/>
    <col min="11532" max="11532" width="9.140625" style="76"/>
    <col min="11533" max="11533" width="12.140625" style="76" customWidth="1"/>
    <col min="11534" max="11534" width="22.140625" style="76" customWidth="1"/>
    <col min="11535" max="11776" width="9.140625" style="76"/>
    <col min="11777" max="11777" width="5.42578125" style="76" customWidth="1"/>
    <col min="11778" max="11778" width="7" style="76" customWidth="1"/>
    <col min="11779" max="11779" width="11.42578125" style="76" customWidth="1"/>
    <col min="11780" max="11780" width="11" style="76" customWidth="1"/>
    <col min="11781" max="11781" width="15" style="76" customWidth="1"/>
    <col min="11782" max="11783" width="12.7109375" style="76" customWidth="1"/>
    <col min="11784" max="11784" width="12.85546875" style="76" customWidth="1"/>
    <col min="11785" max="11785" width="11.42578125" style="76" customWidth="1"/>
    <col min="11786" max="11786" width="14.140625" style="76" customWidth="1"/>
    <col min="11787" max="11787" width="7.7109375" style="76" customWidth="1"/>
    <col min="11788" max="11788" width="9.140625" style="76"/>
    <col min="11789" max="11789" width="12.140625" style="76" customWidth="1"/>
    <col min="11790" max="11790" width="22.140625" style="76" customWidth="1"/>
    <col min="11791" max="12032" width="9.140625" style="76"/>
    <col min="12033" max="12033" width="5.42578125" style="76" customWidth="1"/>
    <col min="12034" max="12034" width="7" style="76" customWidth="1"/>
    <col min="12035" max="12035" width="11.42578125" style="76" customWidth="1"/>
    <col min="12036" max="12036" width="11" style="76" customWidth="1"/>
    <col min="12037" max="12037" width="15" style="76" customWidth="1"/>
    <col min="12038" max="12039" width="12.7109375" style="76" customWidth="1"/>
    <col min="12040" max="12040" width="12.85546875" style="76" customWidth="1"/>
    <col min="12041" max="12041" width="11.42578125" style="76" customWidth="1"/>
    <col min="12042" max="12042" width="14.140625" style="76" customWidth="1"/>
    <col min="12043" max="12043" width="7.7109375" style="76" customWidth="1"/>
    <col min="12044" max="12044" width="9.140625" style="76"/>
    <col min="12045" max="12045" width="12.140625" style="76" customWidth="1"/>
    <col min="12046" max="12046" width="22.140625" style="76" customWidth="1"/>
    <col min="12047" max="12288" width="9.140625" style="76"/>
    <col min="12289" max="12289" width="5.42578125" style="76" customWidth="1"/>
    <col min="12290" max="12290" width="7" style="76" customWidth="1"/>
    <col min="12291" max="12291" width="11.42578125" style="76" customWidth="1"/>
    <col min="12292" max="12292" width="11" style="76" customWidth="1"/>
    <col min="12293" max="12293" width="15" style="76" customWidth="1"/>
    <col min="12294" max="12295" width="12.7109375" style="76" customWidth="1"/>
    <col min="12296" max="12296" width="12.85546875" style="76" customWidth="1"/>
    <col min="12297" max="12297" width="11.42578125" style="76" customWidth="1"/>
    <col min="12298" max="12298" width="14.140625" style="76" customWidth="1"/>
    <col min="12299" max="12299" width="7.7109375" style="76" customWidth="1"/>
    <col min="12300" max="12300" width="9.140625" style="76"/>
    <col min="12301" max="12301" width="12.140625" style="76" customWidth="1"/>
    <col min="12302" max="12302" width="22.140625" style="76" customWidth="1"/>
    <col min="12303" max="12544" width="9.140625" style="76"/>
    <col min="12545" max="12545" width="5.42578125" style="76" customWidth="1"/>
    <col min="12546" max="12546" width="7" style="76" customWidth="1"/>
    <col min="12547" max="12547" width="11.42578125" style="76" customWidth="1"/>
    <col min="12548" max="12548" width="11" style="76" customWidth="1"/>
    <col min="12549" max="12549" width="15" style="76" customWidth="1"/>
    <col min="12550" max="12551" width="12.7109375" style="76" customWidth="1"/>
    <col min="12552" max="12552" width="12.85546875" style="76" customWidth="1"/>
    <col min="12553" max="12553" width="11.42578125" style="76" customWidth="1"/>
    <col min="12554" max="12554" width="14.140625" style="76" customWidth="1"/>
    <col min="12555" max="12555" width="7.7109375" style="76" customWidth="1"/>
    <col min="12556" max="12556" width="9.140625" style="76"/>
    <col min="12557" max="12557" width="12.140625" style="76" customWidth="1"/>
    <col min="12558" max="12558" width="22.140625" style="76" customWidth="1"/>
    <col min="12559" max="12800" width="9.140625" style="76"/>
    <col min="12801" max="12801" width="5.42578125" style="76" customWidth="1"/>
    <col min="12802" max="12802" width="7" style="76" customWidth="1"/>
    <col min="12803" max="12803" width="11.42578125" style="76" customWidth="1"/>
    <col min="12804" max="12804" width="11" style="76" customWidth="1"/>
    <col min="12805" max="12805" width="15" style="76" customWidth="1"/>
    <col min="12806" max="12807" width="12.7109375" style="76" customWidth="1"/>
    <col min="12808" max="12808" width="12.85546875" style="76" customWidth="1"/>
    <col min="12809" max="12809" width="11.42578125" style="76" customWidth="1"/>
    <col min="12810" max="12810" width="14.140625" style="76" customWidth="1"/>
    <col min="12811" max="12811" width="7.7109375" style="76" customWidth="1"/>
    <col min="12812" max="12812" width="9.140625" style="76"/>
    <col min="12813" max="12813" width="12.140625" style="76" customWidth="1"/>
    <col min="12814" max="12814" width="22.140625" style="76" customWidth="1"/>
    <col min="12815" max="13056" width="9.140625" style="76"/>
    <col min="13057" max="13057" width="5.42578125" style="76" customWidth="1"/>
    <col min="13058" max="13058" width="7" style="76" customWidth="1"/>
    <col min="13059" max="13059" width="11.42578125" style="76" customWidth="1"/>
    <col min="13060" max="13060" width="11" style="76" customWidth="1"/>
    <col min="13061" max="13061" width="15" style="76" customWidth="1"/>
    <col min="13062" max="13063" width="12.7109375" style="76" customWidth="1"/>
    <col min="13064" max="13064" width="12.85546875" style="76" customWidth="1"/>
    <col min="13065" max="13065" width="11.42578125" style="76" customWidth="1"/>
    <col min="13066" max="13066" width="14.140625" style="76" customWidth="1"/>
    <col min="13067" max="13067" width="7.7109375" style="76" customWidth="1"/>
    <col min="13068" max="13068" width="9.140625" style="76"/>
    <col min="13069" max="13069" width="12.140625" style="76" customWidth="1"/>
    <col min="13070" max="13070" width="22.140625" style="76" customWidth="1"/>
    <col min="13071" max="13312" width="9.140625" style="76"/>
    <col min="13313" max="13313" width="5.42578125" style="76" customWidth="1"/>
    <col min="13314" max="13314" width="7" style="76" customWidth="1"/>
    <col min="13315" max="13315" width="11.42578125" style="76" customWidth="1"/>
    <col min="13316" max="13316" width="11" style="76" customWidth="1"/>
    <col min="13317" max="13317" width="15" style="76" customWidth="1"/>
    <col min="13318" max="13319" width="12.7109375" style="76" customWidth="1"/>
    <col min="13320" max="13320" width="12.85546875" style="76" customWidth="1"/>
    <col min="13321" max="13321" width="11.42578125" style="76" customWidth="1"/>
    <col min="13322" max="13322" width="14.140625" style="76" customWidth="1"/>
    <col min="13323" max="13323" width="7.7109375" style="76" customWidth="1"/>
    <col min="13324" max="13324" width="9.140625" style="76"/>
    <col min="13325" max="13325" width="12.140625" style="76" customWidth="1"/>
    <col min="13326" max="13326" width="22.140625" style="76" customWidth="1"/>
    <col min="13327" max="13568" width="9.140625" style="76"/>
    <col min="13569" max="13569" width="5.42578125" style="76" customWidth="1"/>
    <col min="13570" max="13570" width="7" style="76" customWidth="1"/>
    <col min="13571" max="13571" width="11.42578125" style="76" customWidth="1"/>
    <col min="13572" max="13572" width="11" style="76" customWidth="1"/>
    <col min="13573" max="13573" width="15" style="76" customWidth="1"/>
    <col min="13574" max="13575" width="12.7109375" style="76" customWidth="1"/>
    <col min="13576" max="13576" width="12.85546875" style="76" customWidth="1"/>
    <col min="13577" max="13577" width="11.42578125" style="76" customWidth="1"/>
    <col min="13578" max="13578" width="14.140625" style="76" customWidth="1"/>
    <col min="13579" max="13579" width="7.7109375" style="76" customWidth="1"/>
    <col min="13580" max="13580" width="9.140625" style="76"/>
    <col min="13581" max="13581" width="12.140625" style="76" customWidth="1"/>
    <col min="13582" max="13582" width="22.140625" style="76" customWidth="1"/>
    <col min="13583" max="13824" width="9.140625" style="76"/>
    <col min="13825" max="13825" width="5.42578125" style="76" customWidth="1"/>
    <col min="13826" max="13826" width="7" style="76" customWidth="1"/>
    <col min="13827" max="13827" width="11.42578125" style="76" customWidth="1"/>
    <col min="13828" max="13828" width="11" style="76" customWidth="1"/>
    <col min="13829" max="13829" width="15" style="76" customWidth="1"/>
    <col min="13830" max="13831" width="12.7109375" style="76" customWidth="1"/>
    <col min="13832" max="13832" width="12.85546875" style="76" customWidth="1"/>
    <col min="13833" max="13833" width="11.42578125" style="76" customWidth="1"/>
    <col min="13834" max="13834" width="14.140625" style="76" customWidth="1"/>
    <col min="13835" max="13835" width="7.7109375" style="76" customWidth="1"/>
    <col min="13836" max="13836" width="9.140625" style="76"/>
    <col min="13837" max="13837" width="12.140625" style="76" customWidth="1"/>
    <col min="13838" max="13838" width="22.140625" style="76" customWidth="1"/>
    <col min="13839" max="14080" width="9.140625" style="76"/>
    <col min="14081" max="14081" width="5.42578125" style="76" customWidth="1"/>
    <col min="14082" max="14082" width="7" style="76" customWidth="1"/>
    <col min="14083" max="14083" width="11.42578125" style="76" customWidth="1"/>
    <col min="14084" max="14084" width="11" style="76" customWidth="1"/>
    <col min="14085" max="14085" width="15" style="76" customWidth="1"/>
    <col min="14086" max="14087" width="12.7109375" style="76" customWidth="1"/>
    <col min="14088" max="14088" width="12.85546875" style="76" customWidth="1"/>
    <col min="14089" max="14089" width="11.42578125" style="76" customWidth="1"/>
    <col min="14090" max="14090" width="14.140625" style="76" customWidth="1"/>
    <col min="14091" max="14091" width="7.7109375" style="76" customWidth="1"/>
    <col min="14092" max="14092" width="9.140625" style="76"/>
    <col min="14093" max="14093" width="12.140625" style="76" customWidth="1"/>
    <col min="14094" max="14094" width="22.140625" style="76" customWidth="1"/>
    <col min="14095" max="14336" width="9.140625" style="76"/>
    <col min="14337" max="14337" width="5.42578125" style="76" customWidth="1"/>
    <col min="14338" max="14338" width="7" style="76" customWidth="1"/>
    <col min="14339" max="14339" width="11.42578125" style="76" customWidth="1"/>
    <col min="14340" max="14340" width="11" style="76" customWidth="1"/>
    <col min="14341" max="14341" width="15" style="76" customWidth="1"/>
    <col min="14342" max="14343" width="12.7109375" style="76" customWidth="1"/>
    <col min="14344" max="14344" width="12.85546875" style="76" customWidth="1"/>
    <col min="14345" max="14345" width="11.42578125" style="76" customWidth="1"/>
    <col min="14346" max="14346" width="14.140625" style="76" customWidth="1"/>
    <col min="14347" max="14347" width="7.7109375" style="76" customWidth="1"/>
    <col min="14348" max="14348" width="9.140625" style="76"/>
    <col min="14349" max="14349" width="12.140625" style="76" customWidth="1"/>
    <col min="14350" max="14350" width="22.140625" style="76" customWidth="1"/>
    <col min="14351" max="14592" width="9.140625" style="76"/>
    <col min="14593" max="14593" width="5.42578125" style="76" customWidth="1"/>
    <col min="14594" max="14594" width="7" style="76" customWidth="1"/>
    <col min="14595" max="14595" width="11.42578125" style="76" customWidth="1"/>
    <col min="14596" max="14596" width="11" style="76" customWidth="1"/>
    <col min="14597" max="14597" width="15" style="76" customWidth="1"/>
    <col min="14598" max="14599" width="12.7109375" style="76" customWidth="1"/>
    <col min="14600" max="14600" width="12.85546875" style="76" customWidth="1"/>
    <col min="14601" max="14601" width="11.42578125" style="76" customWidth="1"/>
    <col min="14602" max="14602" width="14.140625" style="76" customWidth="1"/>
    <col min="14603" max="14603" width="7.7109375" style="76" customWidth="1"/>
    <col min="14604" max="14604" width="9.140625" style="76"/>
    <col min="14605" max="14605" width="12.140625" style="76" customWidth="1"/>
    <col min="14606" max="14606" width="22.140625" style="76" customWidth="1"/>
    <col min="14607" max="14848" width="9.140625" style="76"/>
    <col min="14849" max="14849" width="5.42578125" style="76" customWidth="1"/>
    <col min="14850" max="14850" width="7" style="76" customWidth="1"/>
    <col min="14851" max="14851" width="11.42578125" style="76" customWidth="1"/>
    <col min="14852" max="14852" width="11" style="76" customWidth="1"/>
    <col min="14853" max="14853" width="15" style="76" customWidth="1"/>
    <col min="14854" max="14855" width="12.7109375" style="76" customWidth="1"/>
    <col min="14856" max="14856" width="12.85546875" style="76" customWidth="1"/>
    <col min="14857" max="14857" width="11.42578125" style="76" customWidth="1"/>
    <col min="14858" max="14858" width="14.140625" style="76" customWidth="1"/>
    <col min="14859" max="14859" width="7.7109375" style="76" customWidth="1"/>
    <col min="14860" max="14860" width="9.140625" style="76"/>
    <col min="14861" max="14861" width="12.140625" style="76" customWidth="1"/>
    <col min="14862" max="14862" width="22.140625" style="76" customWidth="1"/>
    <col min="14863" max="15104" width="9.140625" style="76"/>
    <col min="15105" max="15105" width="5.42578125" style="76" customWidth="1"/>
    <col min="15106" max="15106" width="7" style="76" customWidth="1"/>
    <col min="15107" max="15107" width="11.42578125" style="76" customWidth="1"/>
    <col min="15108" max="15108" width="11" style="76" customWidth="1"/>
    <col min="15109" max="15109" width="15" style="76" customWidth="1"/>
    <col min="15110" max="15111" width="12.7109375" style="76" customWidth="1"/>
    <col min="15112" max="15112" width="12.85546875" style="76" customWidth="1"/>
    <col min="15113" max="15113" width="11.42578125" style="76" customWidth="1"/>
    <col min="15114" max="15114" width="14.140625" style="76" customWidth="1"/>
    <col min="15115" max="15115" width="7.7109375" style="76" customWidth="1"/>
    <col min="15116" max="15116" width="9.140625" style="76"/>
    <col min="15117" max="15117" width="12.140625" style="76" customWidth="1"/>
    <col min="15118" max="15118" width="22.140625" style="76" customWidth="1"/>
    <col min="15119" max="15360" width="9.140625" style="76"/>
    <col min="15361" max="15361" width="5.42578125" style="76" customWidth="1"/>
    <col min="15362" max="15362" width="7" style="76" customWidth="1"/>
    <col min="15363" max="15363" width="11.42578125" style="76" customWidth="1"/>
    <col min="15364" max="15364" width="11" style="76" customWidth="1"/>
    <col min="15365" max="15365" width="15" style="76" customWidth="1"/>
    <col min="15366" max="15367" width="12.7109375" style="76" customWidth="1"/>
    <col min="15368" max="15368" width="12.85546875" style="76" customWidth="1"/>
    <col min="15369" max="15369" width="11.42578125" style="76" customWidth="1"/>
    <col min="15370" max="15370" width="14.140625" style="76" customWidth="1"/>
    <col min="15371" max="15371" width="7.7109375" style="76" customWidth="1"/>
    <col min="15372" max="15372" width="9.140625" style="76"/>
    <col min="15373" max="15373" width="12.140625" style="76" customWidth="1"/>
    <col min="15374" max="15374" width="22.140625" style="76" customWidth="1"/>
    <col min="15375" max="15616" width="9.140625" style="76"/>
    <col min="15617" max="15617" width="5.42578125" style="76" customWidth="1"/>
    <col min="15618" max="15618" width="7" style="76" customWidth="1"/>
    <col min="15619" max="15619" width="11.42578125" style="76" customWidth="1"/>
    <col min="15620" max="15620" width="11" style="76" customWidth="1"/>
    <col min="15621" max="15621" width="15" style="76" customWidth="1"/>
    <col min="15622" max="15623" width="12.7109375" style="76" customWidth="1"/>
    <col min="15624" max="15624" width="12.85546875" style="76" customWidth="1"/>
    <col min="15625" max="15625" width="11.42578125" style="76" customWidth="1"/>
    <col min="15626" max="15626" width="14.140625" style="76" customWidth="1"/>
    <col min="15627" max="15627" width="7.7109375" style="76" customWidth="1"/>
    <col min="15628" max="15628" width="9.140625" style="76"/>
    <col min="15629" max="15629" width="12.140625" style="76" customWidth="1"/>
    <col min="15630" max="15630" width="22.140625" style="76" customWidth="1"/>
    <col min="15631" max="15872" width="9.140625" style="76"/>
    <col min="15873" max="15873" width="5.42578125" style="76" customWidth="1"/>
    <col min="15874" max="15874" width="7" style="76" customWidth="1"/>
    <col min="15875" max="15875" width="11.42578125" style="76" customWidth="1"/>
    <col min="15876" max="15876" width="11" style="76" customWidth="1"/>
    <col min="15877" max="15877" width="15" style="76" customWidth="1"/>
    <col min="15878" max="15879" width="12.7109375" style="76" customWidth="1"/>
    <col min="15880" max="15880" width="12.85546875" style="76" customWidth="1"/>
    <col min="15881" max="15881" width="11.42578125" style="76" customWidth="1"/>
    <col min="15882" max="15882" width="14.140625" style="76" customWidth="1"/>
    <col min="15883" max="15883" width="7.7109375" style="76" customWidth="1"/>
    <col min="15884" max="15884" width="9.140625" style="76"/>
    <col min="15885" max="15885" width="12.140625" style="76" customWidth="1"/>
    <col min="15886" max="15886" width="22.140625" style="76" customWidth="1"/>
    <col min="15887" max="16128" width="9.140625" style="76"/>
    <col min="16129" max="16129" width="5.42578125" style="76" customWidth="1"/>
    <col min="16130" max="16130" width="7" style="76" customWidth="1"/>
    <col min="16131" max="16131" width="11.42578125" style="76" customWidth="1"/>
    <col min="16132" max="16132" width="11" style="76" customWidth="1"/>
    <col min="16133" max="16133" width="15" style="76" customWidth="1"/>
    <col min="16134" max="16135" width="12.7109375" style="76" customWidth="1"/>
    <col min="16136" max="16136" width="12.85546875" style="76" customWidth="1"/>
    <col min="16137" max="16137" width="11.42578125" style="76" customWidth="1"/>
    <col min="16138" max="16138" width="14.140625" style="76" customWidth="1"/>
    <col min="16139" max="16139" width="7.7109375" style="76" customWidth="1"/>
    <col min="16140" max="16140" width="9.140625" style="76"/>
    <col min="16141" max="16141" width="12.140625" style="76" customWidth="1"/>
    <col min="16142" max="16142" width="22.140625" style="76" customWidth="1"/>
    <col min="16143" max="16384" width="9.140625" style="76"/>
  </cols>
  <sheetData>
    <row r="1" spans="2:17" ht="14.25" customHeight="1" thickBot="1" x14ac:dyDescent="0.25"/>
    <row r="2" spans="2:17" ht="13.5" thickBot="1" x14ac:dyDescent="0.25">
      <c r="B2" s="79" t="s">
        <v>52</v>
      </c>
      <c r="C2" s="80" t="s">
        <v>84</v>
      </c>
      <c r="D2" s="210" t="s">
        <v>123</v>
      </c>
      <c r="E2" s="210"/>
      <c r="F2" s="210" t="s">
        <v>124</v>
      </c>
      <c r="G2" s="210"/>
      <c r="H2" s="210" t="s">
        <v>125</v>
      </c>
      <c r="I2" s="210"/>
      <c r="J2" s="210" t="s">
        <v>150</v>
      </c>
      <c r="K2" s="210"/>
      <c r="L2" s="210" t="s">
        <v>155</v>
      </c>
      <c r="M2" s="211"/>
      <c r="N2" s="99" t="s">
        <v>160</v>
      </c>
    </row>
    <row r="3" spans="2:17" ht="29.25" customHeight="1" x14ac:dyDescent="0.2">
      <c r="B3" s="217" t="s">
        <v>50</v>
      </c>
      <c r="C3" s="81" t="s">
        <v>85</v>
      </c>
      <c r="D3" s="223" t="s">
        <v>167</v>
      </c>
      <c r="E3" s="224"/>
      <c r="F3" s="223" t="s">
        <v>246</v>
      </c>
      <c r="G3" s="224"/>
      <c r="H3" s="223" t="s">
        <v>87</v>
      </c>
      <c r="I3" s="224"/>
      <c r="J3" s="220" t="s">
        <v>86</v>
      </c>
      <c r="K3" s="221"/>
      <c r="L3" s="220" t="s">
        <v>153</v>
      </c>
      <c r="M3" s="221"/>
      <c r="N3" s="154" t="s">
        <v>158</v>
      </c>
    </row>
    <row r="4" spans="2:17" ht="18" customHeight="1" x14ac:dyDescent="0.2">
      <c r="B4" s="199"/>
      <c r="C4" s="82"/>
      <c r="D4" s="190" t="s">
        <v>89</v>
      </c>
      <c r="E4" s="191"/>
      <c r="F4" s="190" t="s">
        <v>238</v>
      </c>
      <c r="G4" s="191"/>
      <c r="H4" s="190" t="s">
        <v>90</v>
      </c>
      <c r="I4" s="191"/>
      <c r="J4" s="190" t="s">
        <v>89</v>
      </c>
      <c r="K4" s="191"/>
      <c r="L4" s="190" t="s">
        <v>90</v>
      </c>
      <c r="M4" s="191"/>
      <c r="N4" s="128" t="s">
        <v>240</v>
      </c>
    </row>
    <row r="5" spans="2:17" ht="18" customHeight="1" thickBot="1" x14ac:dyDescent="0.25">
      <c r="B5" s="222"/>
      <c r="C5" s="83" t="s">
        <v>91</v>
      </c>
      <c r="D5" s="196" t="s">
        <v>81</v>
      </c>
      <c r="E5" s="197"/>
      <c r="F5" s="196" t="s">
        <v>53</v>
      </c>
      <c r="G5" s="197"/>
      <c r="H5" s="196" t="s">
        <v>81</v>
      </c>
      <c r="I5" s="197"/>
      <c r="J5" s="196" t="s">
        <v>74</v>
      </c>
      <c r="K5" s="197"/>
      <c r="L5" s="196" t="s">
        <v>81</v>
      </c>
      <c r="M5" s="197"/>
      <c r="N5" s="155" t="s">
        <v>74</v>
      </c>
    </row>
    <row r="6" spans="2:17" ht="27" customHeight="1" x14ac:dyDescent="0.2">
      <c r="B6" s="217" t="s">
        <v>49</v>
      </c>
      <c r="C6" s="81" t="s">
        <v>92</v>
      </c>
      <c r="D6" s="204" t="s">
        <v>247</v>
      </c>
      <c r="E6" s="204"/>
      <c r="F6" s="204" t="s">
        <v>239</v>
      </c>
      <c r="G6" s="204"/>
      <c r="H6" s="194" t="s">
        <v>200</v>
      </c>
      <c r="I6" s="194"/>
      <c r="J6" s="204" t="s">
        <v>142</v>
      </c>
      <c r="K6" s="204"/>
      <c r="L6" s="204" t="s">
        <v>251</v>
      </c>
      <c r="M6" s="204"/>
      <c r="N6" s="156"/>
    </row>
    <row r="7" spans="2:17" ht="30" customHeight="1" x14ac:dyDescent="0.2">
      <c r="B7" s="218"/>
      <c r="C7" s="82" t="s">
        <v>93</v>
      </c>
      <c r="D7" s="183" t="s">
        <v>201</v>
      </c>
      <c r="E7" s="183"/>
      <c r="F7" s="183" t="s">
        <v>147</v>
      </c>
      <c r="G7" s="183"/>
      <c r="H7" s="183" t="s">
        <v>94</v>
      </c>
      <c r="I7" s="183"/>
      <c r="J7" s="183" t="s">
        <v>80</v>
      </c>
      <c r="K7" s="183"/>
      <c r="L7" s="183" t="s">
        <v>103</v>
      </c>
      <c r="M7" s="183"/>
      <c r="N7" s="128" t="s">
        <v>128</v>
      </c>
    </row>
    <row r="8" spans="2:17" ht="18.75" customHeight="1" x14ac:dyDescent="0.2">
      <c r="B8" s="218"/>
      <c r="C8" s="82" t="s">
        <v>95</v>
      </c>
      <c r="D8" s="205" t="s">
        <v>129</v>
      </c>
      <c r="E8" s="205"/>
      <c r="F8" s="206" t="s">
        <v>34</v>
      </c>
      <c r="G8" s="183"/>
      <c r="H8" s="206"/>
      <c r="I8" s="183"/>
      <c r="J8" s="183" t="s">
        <v>96</v>
      </c>
      <c r="K8" s="205"/>
      <c r="L8" s="184" t="s">
        <v>148</v>
      </c>
      <c r="M8" s="213"/>
      <c r="N8" s="157" t="s">
        <v>159</v>
      </c>
    </row>
    <row r="9" spans="2:17" ht="18" customHeight="1" x14ac:dyDescent="0.2">
      <c r="B9" s="218"/>
      <c r="C9" s="82" t="s">
        <v>97</v>
      </c>
      <c r="D9" s="214"/>
      <c r="E9" s="214"/>
      <c r="F9" s="215"/>
      <c r="G9" s="214"/>
      <c r="H9" s="215"/>
      <c r="I9" s="214"/>
      <c r="J9" s="216" t="s">
        <v>149</v>
      </c>
      <c r="K9" s="215"/>
      <c r="L9" s="215"/>
      <c r="M9" s="216"/>
      <c r="N9" s="157"/>
    </row>
    <row r="10" spans="2:17" ht="19.5" customHeight="1" x14ac:dyDescent="0.2">
      <c r="B10" s="218"/>
      <c r="C10" s="82" t="s">
        <v>98</v>
      </c>
      <c r="D10" s="205" t="s">
        <v>172</v>
      </c>
      <c r="E10" s="205"/>
      <c r="F10" s="206" t="s">
        <v>188</v>
      </c>
      <c r="G10" s="183"/>
      <c r="H10" s="206" t="s">
        <v>133</v>
      </c>
      <c r="I10" s="183"/>
      <c r="J10" s="184"/>
      <c r="K10" s="213"/>
      <c r="L10" s="206"/>
      <c r="M10" s="195"/>
      <c r="N10" s="113" t="s">
        <v>79</v>
      </c>
      <c r="O10" s="98"/>
    </row>
    <row r="11" spans="2:17" ht="21" customHeight="1" x14ac:dyDescent="0.2">
      <c r="B11" s="218"/>
      <c r="C11" s="82" t="s">
        <v>100</v>
      </c>
      <c r="D11" s="183"/>
      <c r="E11" s="183"/>
      <c r="F11" s="183"/>
      <c r="G11" s="183"/>
      <c r="H11" s="183"/>
      <c r="I11" s="183"/>
      <c r="J11" s="183"/>
      <c r="K11" s="183"/>
      <c r="L11" s="173" t="s">
        <v>154</v>
      </c>
      <c r="M11" s="212"/>
      <c r="N11" s="113"/>
    </row>
    <row r="12" spans="2:17" ht="25.5" customHeight="1" thickBot="1" x14ac:dyDescent="0.25">
      <c r="B12" s="219"/>
      <c r="C12" s="84" t="s">
        <v>91</v>
      </c>
      <c r="D12" s="173" t="s">
        <v>101</v>
      </c>
      <c r="E12" s="173"/>
      <c r="F12" s="173" t="s">
        <v>102</v>
      </c>
      <c r="G12" s="173"/>
      <c r="H12" s="173" t="s">
        <v>250</v>
      </c>
      <c r="I12" s="173"/>
      <c r="J12" s="173" t="s">
        <v>25</v>
      </c>
      <c r="K12" s="212"/>
      <c r="L12" s="198" t="s">
        <v>101</v>
      </c>
      <c r="M12" s="198"/>
      <c r="N12" s="114" t="s">
        <v>81</v>
      </c>
    </row>
    <row r="13" spans="2:17" ht="21" customHeight="1" thickBot="1" x14ac:dyDescent="0.25">
      <c r="B13" s="137"/>
      <c r="C13" s="100" t="s">
        <v>105</v>
      </c>
      <c r="D13" s="208" t="s">
        <v>248</v>
      </c>
      <c r="E13" s="209"/>
      <c r="F13" s="208" t="s">
        <v>249</v>
      </c>
      <c r="G13" s="209"/>
      <c r="H13" s="208" t="s">
        <v>202</v>
      </c>
      <c r="I13" s="209"/>
      <c r="J13" s="208" t="s">
        <v>135</v>
      </c>
      <c r="K13" s="209"/>
      <c r="L13" s="208" t="s">
        <v>136</v>
      </c>
      <c r="M13" s="209"/>
      <c r="N13" s="136" t="s">
        <v>135</v>
      </c>
    </row>
    <row r="14" spans="2:17" ht="17.25" customHeight="1" thickBot="1" x14ac:dyDescent="0.25">
      <c r="B14" s="79" t="s">
        <v>51</v>
      </c>
      <c r="C14" s="80" t="s">
        <v>84</v>
      </c>
      <c r="D14" s="210" t="s">
        <v>168</v>
      </c>
      <c r="E14" s="210"/>
      <c r="F14" s="210" t="s">
        <v>169</v>
      </c>
      <c r="G14" s="210"/>
      <c r="H14" s="210" t="s">
        <v>170</v>
      </c>
      <c r="I14" s="210"/>
      <c r="J14" s="210" t="s">
        <v>171</v>
      </c>
      <c r="K14" s="210"/>
      <c r="L14" s="210" t="s">
        <v>203</v>
      </c>
      <c r="M14" s="211"/>
      <c r="N14" s="118" t="s">
        <v>204</v>
      </c>
    </row>
    <row r="15" spans="2:17" ht="24.75" customHeight="1" x14ac:dyDescent="0.2">
      <c r="B15" s="199" t="s">
        <v>50</v>
      </c>
      <c r="C15" s="101" t="s">
        <v>85</v>
      </c>
      <c r="D15" s="201" t="s">
        <v>167</v>
      </c>
      <c r="E15" s="202"/>
      <c r="F15" s="201" t="s">
        <v>252</v>
      </c>
      <c r="G15" s="202"/>
      <c r="H15" s="188" t="s">
        <v>153</v>
      </c>
      <c r="I15" s="189"/>
      <c r="J15" s="188" t="s">
        <v>88</v>
      </c>
      <c r="K15" s="189"/>
      <c r="L15" s="188" t="s">
        <v>205</v>
      </c>
      <c r="M15" s="189"/>
      <c r="N15" s="158" t="s">
        <v>255</v>
      </c>
    </row>
    <row r="16" spans="2:17" ht="29.25" customHeight="1" x14ac:dyDescent="0.2">
      <c r="B16" s="199"/>
      <c r="C16" s="82"/>
      <c r="D16" s="190" t="s">
        <v>89</v>
      </c>
      <c r="E16" s="191"/>
      <c r="F16" s="190" t="s">
        <v>253</v>
      </c>
      <c r="G16" s="191"/>
      <c r="H16" s="192" t="s">
        <v>241</v>
      </c>
      <c r="I16" s="193"/>
      <c r="J16" s="190" t="s">
        <v>90</v>
      </c>
      <c r="K16" s="191"/>
      <c r="L16" s="190" t="s">
        <v>89</v>
      </c>
      <c r="M16" s="191"/>
      <c r="N16" s="113" t="s">
        <v>237</v>
      </c>
      <c r="Q16" s="76" t="s">
        <v>24</v>
      </c>
    </row>
    <row r="17" spans="2:16" ht="25.5" customHeight="1" thickBot="1" x14ac:dyDescent="0.25">
      <c r="B17" s="200"/>
      <c r="C17" s="83" t="s">
        <v>91</v>
      </c>
      <c r="D17" s="196" t="s">
        <v>53</v>
      </c>
      <c r="E17" s="197"/>
      <c r="F17" s="196" t="s">
        <v>25</v>
      </c>
      <c r="G17" s="197"/>
      <c r="H17" s="198" t="s">
        <v>74</v>
      </c>
      <c r="I17" s="198"/>
      <c r="J17" s="198" t="s">
        <v>178</v>
      </c>
      <c r="K17" s="198"/>
      <c r="L17" s="196" t="s">
        <v>53</v>
      </c>
      <c r="M17" s="197"/>
      <c r="N17" s="159" t="s">
        <v>81</v>
      </c>
    </row>
    <row r="18" spans="2:16" ht="27" customHeight="1" x14ac:dyDescent="0.2">
      <c r="B18" s="203" t="s">
        <v>49</v>
      </c>
      <c r="C18" s="81" t="s">
        <v>92</v>
      </c>
      <c r="D18" s="204" t="s">
        <v>247</v>
      </c>
      <c r="E18" s="204"/>
      <c r="F18" s="194" t="s">
        <v>224</v>
      </c>
      <c r="G18" s="194"/>
      <c r="H18" s="204" t="s">
        <v>132</v>
      </c>
      <c r="I18" s="204"/>
      <c r="J18" s="204" t="s">
        <v>142</v>
      </c>
      <c r="K18" s="204"/>
      <c r="L18" s="194" t="s">
        <v>234</v>
      </c>
      <c r="M18" s="194"/>
      <c r="N18" s="160" t="s">
        <v>247</v>
      </c>
    </row>
    <row r="19" spans="2:16" ht="25.5" customHeight="1" x14ac:dyDescent="0.2">
      <c r="B19" s="199"/>
      <c r="C19" s="82" t="s">
        <v>93</v>
      </c>
      <c r="D19" s="182" t="s">
        <v>206</v>
      </c>
      <c r="E19" s="182"/>
      <c r="F19" s="182" t="s">
        <v>217</v>
      </c>
      <c r="G19" s="182"/>
      <c r="H19" s="183" t="s">
        <v>177</v>
      </c>
      <c r="I19" s="195"/>
      <c r="J19" s="183" t="s">
        <v>94</v>
      </c>
      <c r="K19" s="183"/>
      <c r="L19" s="183" t="s">
        <v>207</v>
      </c>
      <c r="M19" s="195"/>
      <c r="N19" s="119" t="s">
        <v>103</v>
      </c>
    </row>
    <row r="20" spans="2:16" ht="21.75" customHeight="1" x14ac:dyDescent="0.2">
      <c r="B20" s="199"/>
      <c r="C20" s="82" t="s">
        <v>95</v>
      </c>
      <c r="D20" s="183" t="s">
        <v>96</v>
      </c>
      <c r="E20" s="205"/>
      <c r="F20" s="183"/>
      <c r="G20" s="205"/>
      <c r="H20" s="183" t="s">
        <v>208</v>
      </c>
      <c r="I20" s="183"/>
      <c r="J20" s="183" t="s">
        <v>148</v>
      </c>
      <c r="K20" s="183"/>
      <c r="L20" s="180" t="s">
        <v>209</v>
      </c>
      <c r="M20" s="181"/>
      <c r="N20" s="119" t="s">
        <v>34</v>
      </c>
    </row>
    <row r="21" spans="2:16" ht="26.25" customHeight="1" x14ac:dyDescent="0.2">
      <c r="B21" s="199"/>
      <c r="C21" s="82" t="s">
        <v>98</v>
      </c>
      <c r="D21" s="170" t="s">
        <v>172</v>
      </c>
      <c r="E21" s="170"/>
      <c r="F21" s="170" t="s">
        <v>99</v>
      </c>
      <c r="G21" s="170"/>
      <c r="H21" s="182"/>
      <c r="I21" s="182"/>
      <c r="J21" s="182" t="s">
        <v>179</v>
      </c>
      <c r="K21" s="182"/>
      <c r="L21" s="183" t="s">
        <v>210</v>
      </c>
      <c r="M21" s="184"/>
      <c r="N21" s="161"/>
      <c r="P21" s="76" t="s">
        <v>24</v>
      </c>
    </row>
    <row r="22" spans="2:16" ht="21.75" customHeight="1" x14ac:dyDescent="0.2">
      <c r="B22" s="199"/>
      <c r="C22" s="82" t="s">
        <v>97</v>
      </c>
      <c r="D22" s="181"/>
      <c r="E22" s="180"/>
      <c r="F22" s="185"/>
      <c r="G22" s="186"/>
      <c r="H22" s="181"/>
      <c r="I22" s="180"/>
      <c r="J22" s="181"/>
      <c r="K22" s="180"/>
      <c r="L22" s="181"/>
      <c r="M22" s="187"/>
      <c r="N22" s="162" t="s">
        <v>211</v>
      </c>
    </row>
    <row r="23" spans="2:16" ht="24.75" customHeight="1" x14ac:dyDescent="0.2">
      <c r="B23" s="199"/>
      <c r="C23" s="82" t="s">
        <v>100</v>
      </c>
      <c r="D23" s="170"/>
      <c r="E23" s="170"/>
      <c r="F23" s="182"/>
      <c r="G23" s="182"/>
      <c r="H23" s="195" t="s">
        <v>254</v>
      </c>
      <c r="I23" s="206"/>
      <c r="J23" s="207"/>
      <c r="K23" s="207"/>
      <c r="L23" s="170"/>
      <c r="M23" s="171"/>
      <c r="N23" s="161"/>
    </row>
    <row r="24" spans="2:16" ht="18" customHeight="1" thickBot="1" x14ac:dyDescent="0.25">
      <c r="B24" s="199"/>
      <c r="C24" s="84" t="s">
        <v>91</v>
      </c>
      <c r="D24" s="172" t="s">
        <v>104</v>
      </c>
      <c r="E24" s="172"/>
      <c r="F24" s="172" t="s">
        <v>101</v>
      </c>
      <c r="G24" s="172"/>
      <c r="H24" s="172" t="s">
        <v>25</v>
      </c>
      <c r="I24" s="172"/>
      <c r="J24" s="173" t="s">
        <v>134</v>
      </c>
      <c r="K24" s="173"/>
      <c r="L24" s="172" t="s">
        <v>212</v>
      </c>
      <c r="M24" s="174"/>
      <c r="N24" s="163" t="s">
        <v>101</v>
      </c>
    </row>
    <row r="25" spans="2:16" s="109" customFormat="1" ht="19.5" customHeight="1" thickBot="1" x14ac:dyDescent="0.3">
      <c r="B25" s="103"/>
      <c r="C25" s="102" t="s">
        <v>105</v>
      </c>
      <c r="D25" s="175" t="s">
        <v>135</v>
      </c>
      <c r="E25" s="176"/>
      <c r="F25" s="175" t="s">
        <v>136</v>
      </c>
      <c r="G25" s="176"/>
      <c r="H25" s="175" t="s">
        <v>135</v>
      </c>
      <c r="I25" s="177"/>
      <c r="J25" s="178" t="s">
        <v>136</v>
      </c>
      <c r="K25" s="179"/>
      <c r="L25" s="177" t="s">
        <v>135</v>
      </c>
      <c r="M25" s="176"/>
      <c r="N25" s="120" t="s">
        <v>136</v>
      </c>
    </row>
    <row r="26" spans="2:16" x14ac:dyDescent="0.2">
      <c r="C26" s="112"/>
      <c r="H26" s="112"/>
      <c r="I26" s="121"/>
    </row>
    <row r="27" spans="2:16" x14ac:dyDescent="0.2">
      <c r="C27" s="111"/>
      <c r="H27" s="112"/>
      <c r="I27" s="121"/>
    </row>
    <row r="28" spans="2:16" x14ac:dyDescent="0.2">
      <c r="C28" s="111"/>
      <c r="H28" s="112"/>
      <c r="I28" s="121"/>
    </row>
    <row r="29" spans="2:16" x14ac:dyDescent="0.2">
      <c r="C29" s="111"/>
      <c r="H29" s="121"/>
      <c r="I29" s="121"/>
    </row>
  </sheetData>
  <mergeCells count="124">
    <mergeCell ref="D2:E2"/>
    <mergeCell ref="F2:G2"/>
    <mergeCell ref="H2:I2"/>
    <mergeCell ref="J2:K2"/>
    <mergeCell ref="L2:M2"/>
    <mergeCell ref="B3:B5"/>
    <mergeCell ref="D3:E3"/>
    <mergeCell ref="F3:G3"/>
    <mergeCell ref="H3:I3"/>
    <mergeCell ref="J3:K3"/>
    <mergeCell ref="B6:B12"/>
    <mergeCell ref="D6:E6"/>
    <mergeCell ref="F6:G6"/>
    <mergeCell ref="H6:I6"/>
    <mergeCell ref="J6:K6"/>
    <mergeCell ref="L3:M3"/>
    <mergeCell ref="D4:E4"/>
    <mergeCell ref="F4:G4"/>
    <mergeCell ref="H4:I4"/>
    <mergeCell ref="J4:K4"/>
    <mergeCell ref="L4:M4"/>
    <mergeCell ref="L6:M6"/>
    <mergeCell ref="D7:E7"/>
    <mergeCell ref="F7:G7"/>
    <mergeCell ref="H7:I7"/>
    <mergeCell ref="J7:K7"/>
    <mergeCell ref="L7:M7"/>
    <mergeCell ref="D5:E5"/>
    <mergeCell ref="F5:G5"/>
    <mergeCell ref="H5:I5"/>
    <mergeCell ref="J5:K5"/>
    <mergeCell ref="L5:M5"/>
    <mergeCell ref="D8:E8"/>
    <mergeCell ref="F8:G8"/>
    <mergeCell ref="H8:I8"/>
    <mergeCell ref="J8:K8"/>
    <mergeCell ref="L8:M8"/>
    <mergeCell ref="D9:E9"/>
    <mergeCell ref="F9:G9"/>
    <mergeCell ref="H9:I9"/>
    <mergeCell ref="J9:K9"/>
    <mergeCell ref="L9:M9"/>
    <mergeCell ref="D10:E10"/>
    <mergeCell ref="F10:G10"/>
    <mergeCell ref="H10:I10"/>
    <mergeCell ref="J10:K10"/>
    <mergeCell ref="L10:M10"/>
    <mergeCell ref="D11:E11"/>
    <mergeCell ref="F11:G11"/>
    <mergeCell ref="H11:I11"/>
    <mergeCell ref="J11:K11"/>
    <mergeCell ref="L11:M11"/>
    <mergeCell ref="D12:E12"/>
    <mergeCell ref="F12:G12"/>
    <mergeCell ref="H12:I12"/>
    <mergeCell ref="J12:K12"/>
    <mergeCell ref="L12:M12"/>
    <mergeCell ref="D13:E13"/>
    <mergeCell ref="F13:G13"/>
    <mergeCell ref="H13:I13"/>
    <mergeCell ref="J13:K13"/>
    <mergeCell ref="L13:M13"/>
    <mergeCell ref="D14:E14"/>
    <mergeCell ref="F14:G14"/>
    <mergeCell ref="H14:I14"/>
    <mergeCell ref="J14:K14"/>
    <mergeCell ref="L14:M14"/>
    <mergeCell ref="B15:B17"/>
    <mergeCell ref="D15:E15"/>
    <mergeCell ref="F15:G15"/>
    <mergeCell ref="H15:I15"/>
    <mergeCell ref="J15:K15"/>
    <mergeCell ref="B18:B24"/>
    <mergeCell ref="D18:E18"/>
    <mergeCell ref="F18:G18"/>
    <mergeCell ref="H18:I18"/>
    <mergeCell ref="J18:K18"/>
    <mergeCell ref="D20:E20"/>
    <mergeCell ref="F20:G20"/>
    <mergeCell ref="H20:I20"/>
    <mergeCell ref="J20:K20"/>
    <mergeCell ref="D23:E23"/>
    <mergeCell ref="F23:G23"/>
    <mergeCell ref="H23:I23"/>
    <mergeCell ref="J23:K23"/>
    <mergeCell ref="L15:M15"/>
    <mergeCell ref="D16:E16"/>
    <mergeCell ref="F16:G16"/>
    <mergeCell ref="H16:I16"/>
    <mergeCell ref="J16:K16"/>
    <mergeCell ref="L16:M16"/>
    <mergeCell ref="L18:M18"/>
    <mergeCell ref="D19:E19"/>
    <mergeCell ref="F19:G19"/>
    <mergeCell ref="H19:I19"/>
    <mergeCell ref="J19:K19"/>
    <mergeCell ref="L19:M19"/>
    <mergeCell ref="D17:E17"/>
    <mergeCell ref="F17:G17"/>
    <mergeCell ref="H17:I17"/>
    <mergeCell ref="J17:K17"/>
    <mergeCell ref="L17:M17"/>
    <mergeCell ref="L20:M20"/>
    <mergeCell ref="D21:E21"/>
    <mergeCell ref="F21:G21"/>
    <mergeCell ref="H21:I21"/>
    <mergeCell ref="J21:K21"/>
    <mergeCell ref="L21:M21"/>
    <mergeCell ref="D22:E22"/>
    <mergeCell ref="F22:G22"/>
    <mergeCell ref="H22:I22"/>
    <mergeCell ref="J22:K22"/>
    <mergeCell ref="L22:M22"/>
    <mergeCell ref="L23:M23"/>
    <mergeCell ref="D24:E24"/>
    <mergeCell ref="F24:G24"/>
    <mergeCell ref="H24:I24"/>
    <mergeCell ref="J24:K24"/>
    <mergeCell ref="L24:M24"/>
    <mergeCell ref="D25:E25"/>
    <mergeCell ref="F25:G25"/>
    <mergeCell ref="H25:I25"/>
    <mergeCell ref="J25:K25"/>
    <mergeCell ref="L25:M25"/>
  </mergeCells>
  <hyperlinks>
    <hyperlink ref="D2:E2" location="'день 1 '!A1" display="1 день"/>
    <hyperlink ref="F2:M2" location="'день 1 '!A1" display="1 день"/>
    <hyperlink ref="D14:E14" location="'день 1 '!A1" display="1 день"/>
  </hyperlinks>
  <pageMargins left="0.25" right="0.25" top="0.75" bottom="0.75" header="0.3" footer="0.3"/>
  <pageSetup paperSize="9" scale="80" orientation="landscape" horizontalDpi="4294967295" verticalDpi="4294967295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topLeftCell="A10" zoomScale="90" zoomScaleNormal="90" zoomScalePageLayoutView="60" workbookViewId="0">
      <selection activeCell="H14" sqref="H14:I14"/>
    </sheetView>
  </sheetViews>
  <sheetFormatPr defaultRowHeight="12.75" x14ac:dyDescent="0.2"/>
  <cols>
    <col min="1" max="1" width="5.42578125" style="76" customWidth="1"/>
    <col min="2" max="2" width="4.85546875" style="78" customWidth="1"/>
    <col min="3" max="3" width="11.42578125" style="76" customWidth="1"/>
    <col min="4" max="4" width="11" style="76" customWidth="1"/>
    <col min="5" max="5" width="12" style="76" customWidth="1"/>
    <col min="6" max="7" width="12.7109375" style="76" customWidth="1"/>
    <col min="8" max="8" width="12.85546875" style="76" customWidth="1"/>
    <col min="9" max="9" width="11.42578125" style="76" customWidth="1"/>
    <col min="10" max="10" width="14.140625" style="76" customWidth="1"/>
    <col min="11" max="11" width="7.7109375" style="76" customWidth="1"/>
    <col min="12" max="12" width="9.140625" style="76"/>
    <col min="13" max="13" width="15.5703125" style="76" customWidth="1"/>
    <col min="14" max="14" width="27" style="76" customWidth="1"/>
    <col min="15" max="256" width="9.140625" style="76"/>
    <col min="257" max="257" width="5.42578125" style="76" customWidth="1"/>
    <col min="258" max="258" width="7" style="76" customWidth="1"/>
    <col min="259" max="259" width="11.42578125" style="76" customWidth="1"/>
    <col min="260" max="260" width="11" style="76" customWidth="1"/>
    <col min="261" max="261" width="15" style="76" customWidth="1"/>
    <col min="262" max="263" width="12.7109375" style="76" customWidth="1"/>
    <col min="264" max="264" width="12.85546875" style="76" customWidth="1"/>
    <col min="265" max="265" width="11.42578125" style="76" customWidth="1"/>
    <col min="266" max="266" width="14.140625" style="76" customWidth="1"/>
    <col min="267" max="267" width="7.7109375" style="76" customWidth="1"/>
    <col min="268" max="268" width="9.140625" style="76"/>
    <col min="269" max="269" width="12.140625" style="76" customWidth="1"/>
    <col min="270" max="270" width="22.140625" style="76" customWidth="1"/>
    <col min="271" max="512" width="9.140625" style="76"/>
    <col min="513" max="513" width="5.42578125" style="76" customWidth="1"/>
    <col min="514" max="514" width="7" style="76" customWidth="1"/>
    <col min="515" max="515" width="11.42578125" style="76" customWidth="1"/>
    <col min="516" max="516" width="11" style="76" customWidth="1"/>
    <col min="517" max="517" width="15" style="76" customWidth="1"/>
    <col min="518" max="519" width="12.7109375" style="76" customWidth="1"/>
    <col min="520" max="520" width="12.85546875" style="76" customWidth="1"/>
    <col min="521" max="521" width="11.42578125" style="76" customWidth="1"/>
    <col min="522" max="522" width="14.140625" style="76" customWidth="1"/>
    <col min="523" max="523" width="7.7109375" style="76" customWidth="1"/>
    <col min="524" max="524" width="9.140625" style="76"/>
    <col min="525" max="525" width="12.140625" style="76" customWidth="1"/>
    <col min="526" max="526" width="22.140625" style="76" customWidth="1"/>
    <col min="527" max="768" width="9.140625" style="76"/>
    <col min="769" max="769" width="5.42578125" style="76" customWidth="1"/>
    <col min="770" max="770" width="7" style="76" customWidth="1"/>
    <col min="771" max="771" width="11.42578125" style="76" customWidth="1"/>
    <col min="772" max="772" width="11" style="76" customWidth="1"/>
    <col min="773" max="773" width="15" style="76" customWidth="1"/>
    <col min="774" max="775" width="12.7109375" style="76" customWidth="1"/>
    <col min="776" max="776" width="12.85546875" style="76" customWidth="1"/>
    <col min="777" max="777" width="11.42578125" style="76" customWidth="1"/>
    <col min="778" max="778" width="14.140625" style="76" customWidth="1"/>
    <col min="779" max="779" width="7.7109375" style="76" customWidth="1"/>
    <col min="780" max="780" width="9.140625" style="76"/>
    <col min="781" max="781" width="12.140625" style="76" customWidth="1"/>
    <col min="782" max="782" width="22.140625" style="76" customWidth="1"/>
    <col min="783" max="1024" width="9.140625" style="76"/>
    <col min="1025" max="1025" width="5.42578125" style="76" customWidth="1"/>
    <col min="1026" max="1026" width="7" style="76" customWidth="1"/>
    <col min="1027" max="1027" width="11.42578125" style="76" customWidth="1"/>
    <col min="1028" max="1028" width="11" style="76" customWidth="1"/>
    <col min="1029" max="1029" width="15" style="76" customWidth="1"/>
    <col min="1030" max="1031" width="12.7109375" style="76" customWidth="1"/>
    <col min="1032" max="1032" width="12.85546875" style="76" customWidth="1"/>
    <col min="1033" max="1033" width="11.42578125" style="76" customWidth="1"/>
    <col min="1034" max="1034" width="14.140625" style="76" customWidth="1"/>
    <col min="1035" max="1035" width="7.7109375" style="76" customWidth="1"/>
    <col min="1036" max="1036" width="9.140625" style="76"/>
    <col min="1037" max="1037" width="12.140625" style="76" customWidth="1"/>
    <col min="1038" max="1038" width="22.140625" style="76" customWidth="1"/>
    <col min="1039" max="1280" width="9.140625" style="76"/>
    <col min="1281" max="1281" width="5.42578125" style="76" customWidth="1"/>
    <col min="1282" max="1282" width="7" style="76" customWidth="1"/>
    <col min="1283" max="1283" width="11.42578125" style="76" customWidth="1"/>
    <col min="1284" max="1284" width="11" style="76" customWidth="1"/>
    <col min="1285" max="1285" width="15" style="76" customWidth="1"/>
    <col min="1286" max="1287" width="12.7109375" style="76" customWidth="1"/>
    <col min="1288" max="1288" width="12.85546875" style="76" customWidth="1"/>
    <col min="1289" max="1289" width="11.42578125" style="76" customWidth="1"/>
    <col min="1290" max="1290" width="14.140625" style="76" customWidth="1"/>
    <col min="1291" max="1291" width="7.7109375" style="76" customWidth="1"/>
    <col min="1292" max="1292" width="9.140625" style="76"/>
    <col min="1293" max="1293" width="12.140625" style="76" customWidth="1"/>
    <col min="1294" max="1294" width="22.140625" style="76" customWidth="1"/>
    <col min="1295" max="1536" width="9.140625" style="76"/>
    <col min="1537" max="1537" width="5.42578125" style="76" customWidth="1"/>
    <col min="1538" max="1538" width="7" style="76" customWidth="1"/>
    <col min="1539" max="1539" width="11.42578125" style="76" customWidth="1"/>
    <col min="1540" max="1540" width="11" style="76" customWidth="1"/>
    <col min="1541" max="1541" width="15" style="76" customWidth="1"/>
    <col min="1542" max="1543" width="12.7109375" style="76" customWidth="1"/>
    <col min="1544" max="1544" width="12.85546875" style="76" customWidth="1"/>
    <col min="1545" max="1545" width="11.42578125" style="76" customWidth="1"/>
    <col min="1546" max="1546" width="14.140625" style="76" customWidth="1"/>
    <col min="1547" max="1547" width="7.7109375" style="76" customWidth="1"/>
    <col min="1548" max="1548" width="9.140625" style="76"/>
    <col min="1549" max="1549" width="12.140625" style="76" customWidth="1"/>
    <col min="1550" max="1550" width="22.140625" style="76" customWidth="1"/>
    <col min="1551" max="1792" width="9.140625" style="76"/>
    <col min="1793" max="1793" width="5.42578125" style="76" customWidth="1"/>
    <col min="1794" max="1794" width="7" style="76" customWidth="1"/>
    <col min="1795" max="1795" width="11.42578125" style="76" customWidth="1"/>
    <col min="1796" max="1796" width="11" style="76" customWidth="1"/>
    <col min="1797" max="1797" width="15" style="76" customWidth="1"/>
    <col min="1798" max="1799" width="12.7109375" style="76" customWidth="1"/>
    <col min="1800" max="1800" width="12.85546875" style="76" customWidth="1"/>
    <col min="1801" max="1801" width="11.42578125" style="76" customWidth="1"/>
    <col min="1802" max="1802" width="14.140625" style="76" customWidth="1"/>
    <col min="1803" max="1803" width="7.7109375" style="76" customWidth="1"/>
    <col min="1804" max="1804" width="9.140625" style="76"/>
    <col min="1805" max="1805" width="12.140625" style="76" customWidth="1"/>
    <col min="1806" max="1806" width="22.140625" style="76" customWidth="1"/>
    <col min="1807" max="2048" width="9.140625" style="76"/>
    <col min="2049" max="2049" width="5.42578125" style="76" customWidth="1"/>
    <col min="2050" max="2050" width="7" style="76" customWidth="1"/>
    <col min="2051" max="2051" width="11.42578125" style="76" customWidth="1"/>
    <col min="2052" max="2052" width="11" style="76" customWidth="1"/>
    <col min="2053" max="2053" width="15" style="76" customWidth="1"/>
    <col min="2054" max="2055" width="12.7109375" style="76" customWidth="1"/>
    <col min="2056" max="2056" width="12.85546875" style="76" customWidth="1"/>
    <col min="2057" max="2057" width="11.42578125" style="76" customWidth="1"/>
    <col min="2058" max="2058" width="14.140625" style="76" customWidth="1"/>
    <col min="2059" max="2059" width="7.7109375" style="76" customWidth="1"/>
    <col min="2060" max="2060" width="9.140625" style="76"/>
    <col min="2061" max="2061" width="12.140625" style="76" customWidth="1"/>
    <col min="2062" max="2062" width="22.140625" style="76" customWidth="1"/>
    <col min="2063" max="2304" width="9.140625" style="76"/>
    <col min="2305" max="2305" width="5.42578125" style="76" customWidth="1"/>
    <col min="2306" max="2306" width="7" style="76" customWidth="1"/>
    <col min="2307" max="2307" width="11.42578125" style="76" customWidth="1"/>
    <col min="2308" max="2308" width="11" style="76" customWidth="1"/>
    <col min="2309" max="2309" width="15" style="76" customWidth="1"/>
    <col min="2310" max="2311" width="12.7109375" style="76" customWidth="1"/>
    <col min="2312" max="2312" width="12.85546875" style="76" customWidth="1"/>
    <col min="2313" max="2313" width="11.42578125" style="76" customWidth="1"/>
    <col min="2314" max="2314" width="14.140625" style="76" customWidth="1"/>
    <col min="2315" max="2315" width="7.7109375" style="76" customWidth="1"/>
    <col min="2316" max="2316" width="9.140625" style="76"/>
    <col min="2317" max="2317" width="12.140625" style="76" customWidth="1"/>
    <col min="2318" max="2318" width="22.140625" style="76" customWidth="1"/>
    <col min="2319" max="2560" width="9.140625" style="76"/>
    <col min="2561" max="2561" width="5.42578125" style="76" customWidth="1"/>
    <col min="2562" max="2562" width="7" style="76" customWidth="1"/>
    <col min="2563" max="2563" width="11.42578125" style="76" customWidth="1"/>
    <col min="2564" max="2564" width="11" style="76" customWidth="1"/>
    <col min="2565" max="2565" width="15" style="76" customWidth="1"/>
    <col min="2566" max="2567" width="12.7109375" style="76" customWidth="1"/>
    <col min="2568" max="2568" width="12.85546875" style="76" customWidth="1"/>
    <col min="2569" max="2569" width="11.42578125" style="76" customWidth="1"/>
    <col min="2570" max="2570" width="14.140625" style="76" customWidth="1"/>
    <col min="2571" max="2571" width="7.7109375" style="76" customWidth="1"/>
    <col min="2572" max="2572" width="9.140625" style="76"/>
    <col min="2573" max="2573" width="12.140625" style="76" customWidth="1"/>
    <col min="2574" max="2574" width="22.140625" style="76" customWidth="1"/>
    <col min="2575" max="2816" width="9.140625" style="76"/>
    <col min="2817" max="2817" width="5.42578125" style="76" customWidth="1"/>
    <col min="2818" max="2818" width="7" style="76" customWidth="1"/>
    <col min="2819" max="2819" width="11.42578125" style="76" customWidth="1"/>
    <col min="2820" max="2820" width="11" style="76" customWidth="1"/>
    <col min="2821" max="2821" width="15" style="76" customWidth="1"/>
    <col min="2822" max="2823" width="12.7109375" style="76" customWidth="1"/>
    <col min="2824" max="2824" width="12.85546875" style="76" customWidth="1"/>
    <col min="2825" max="2825" width="11.42578125" style="76" customWidth="1"/>
    <col min="2826" max="2826" width="14.140625" style="76" customWidth="1"/>
    <col min="2827" max="2827" width="7.7109375" style="76" customWidth="1"/>
    <col min="2828" max="2828" width="9.140625" style="76"/>
    <col min="2829" max="2829" width="12.140625" style="76" customWidth="1"/>
    <col min="2830" max="2830" width="22.140625" style="76" customWidth="1"/>
    <col min="2831" max="3072" width="9.140625" style="76"/>
    <col min="3073" max="3073" width="5.42578125" style="76" customWidth="1"/>
    <col min="3074" max="3074" width="7" style="76" customWidth="1"/>
    <col min="3075" max="3075" width="11.42578125" style="76" customWidth="1"/>
    <col min="3076" max="3076" width="11" style="76" customWidth="1"/>
    <col min="3077" max="3077" width="15" style="76" customWidth="1"/>
    <col min="3078" max="3079" width="12.7109375" style="76" customWidth="1"/>
    <col min="3080" max="3080" width="12.85546875" style="76" customWidth="1"/>
    <col min="3081" max="3081" width="11.42578125" style="76" customWidth="1"/>
    <col min="3082" max="3082" width="14.140625" style="76" customWidth="1"/>
    <col min="3083" max="3083" width="7.7109375" style="76" customWidth="1"/>
    <col min="3084" max="3084" width="9.140625" style="76"/>
    <col min="3085" max="3085" width="12.140625" style="76" customWidth="1"/>
    <col min="3086" max="3086" width="22.140625" style="76" customWidth="1"/>
    <col min="3087" max="3328" width="9.140625" style="76"/>
    <col min="3329" max="3329" width="5.42578125" style="76" customWidth="1"/>
    <col min="3330" max="3330" width="7" style="76" customWidth="1"/>
    <col min="3331" max="3331" width="11.42578125" style="76" customWidth="1"/>
    <col min="3332" max="3332" width="11" style="76" customWidth="1"/>
    <col min="3333" max="3333" width="15" style="76" customWidth="1"/>
    <col min="3334" max="3335" width="12.7109375" style="76" customWidth="1"/>
    <col min="3336" max="3336" width="12.85546875" style="76" customWidth="1"/>
    <col min="3337" max="3337" width="11.42578125" style="76" customWidth="1"/>
    <col min="3338" max="3338" width="14.140625" style="76" customWidth="1"/>
    <col min="3339" max="3339" width="7.7109375" style="76" customWidth="1"/>
    <col min="3340" max="3340" width="9.140625" style="76"/>
    <col min="3341" max="3341" width="12.140625" style="76" customWidth="1"/>
    <col min="3342" max="3342" width="22.140625" style="76" customWidth="1"/>
    <col min="3343" max="3584" width="9.140625" style="76"/>
    <col min="3585" max="3585" width="5.42578125" style="76" customWidth="1"/>
    <col min="3586" max="3586" width="7" style="76" customWidth="1"/>
    <col min="3587" max="3587" width="11.42578125" style="76" customWidth="1"/>
    <col min="3588" max="3588" width="11" style="76" customWidth="1"/>
    <col min="3589" max="3589" width="15" style="76" customWidth="1"/>
    <col min="3590" max="3591" width="12.7109375" style="76" customWidth="1"/>
    <col min="3592" max="3592" width="12.85546875" style="76" customWidth="1"/>
    <col min="3593" max="3593" width="11.42578125" style="76" customWidth="1"/>
    <col min="3594" max="3594" width="14.140625" style="76" customWidth="1"/>
    <col min="3595" max="3595" width="7.7109375" style="76" customWidth="1"/>
    <col min="3596" max="3596" width="9.140625" style="76"/>
    <col min="3597" max="3597" width="12.140625" style="76" customWidth="1"/>
    <col min="3598" max="3598" width="22.140625" style="76" customWidth="1"/>
    <col min="3599" max="3840" width="9.140625" style="76"/>
    <col min="3841" max="3841" width="5.42578125" style="76" customWidth="1"/>
    <col min="3842" max="3842" width="7" style="76" customWidth="1"/>
    <col min="3843" max="3843" width="11.42578125" style="76" customWidth="1"/>
    <col min="3844" max="3844" width="11" style="76" customWidth="1"/>
    <col min="3845" max="3845" width="15" style="76" customWidth="1"/>
    <col min="3846" max="3847" width="12.7109375" style="76" customWidth="1"/>
    <col min="3848" max="3848" width="12.85546875" style="76" customWidth="1"/>
    <col min="3849" max="3849" width="11.42578125" style="76" customWidth="1"/>
    <col min="3850" max="3850" width="14.140625" style="76" customWidth="1"/>
    <col min="3851" max="3851" width="7.7109375" style="76" customWidth="1"/>
    <col min="3852" max="3852" width="9.140625" style="76"/>
    <col min="3853" max="3853" width="12.140625" style="76" customWidth="1"/>
    <col min="3854" max="3854" width="22.140625" style="76" customWidth="1"/>
    <col min="3855" max="4096" width="9.140625" style="76"/>
    <col min="4097" max="4097" width="5.42578125" style="76" customWidth="1"/>
    <col min="4098" max="4098" width="7" style="76" customWidth="1"/>
    <col min="4099" max="4099" width="11.42578125" style="76" customWidth="1"/>
    <col min="4100" max="4100" width="11" style="76" customWidth="1"/>
    <col min="4101" max="4101" width="15" style="76" customWidth="1"/>
    <col min="4102" max="4103" width="12.7109375" style="76" customWidth="1"/>
    <col min="4104" max="4104" width="12.85546875" style="76" customWidth="1"/>
    <col min="4105" max="4105" width="11.42578125" style="76" customWidth="1"/>
    <col min="4106" max="4106" width="14.140625" style="76" customWidth="1"/>
    <col min="4107" max="4107" width="7.7109375" style="76" customWidth="1"/>
    <col min="4108" max="4108" width="9.140625" style="76"/>
    <col min="4109" max="4109" width="12.140625" style="76" customWidth="1"/>
    <col min="4110" max="4110" width="22.140625" style="76" customWidth="1"/>
    <col min="4111" max="4352" width="9.140625" style="76"/>
    <col min="4353" max="4353" width="5.42578125" style="76" customWidth="1"/>
    <col min="4354" max="4354" width="7" style="76" customWidth="1"/>
    <col min="4355" max="4355" width="11.42578125" style="76" customWidth="1"/>
    <col min="4356" max="4356" width="11" style="76" customWidth="1"/>
    <col min="4357" max="4357" width="15" style="76" customWidth="1"/>
    <col min="4358" max="4359" width="12.7109375" style="76" customWidth="1"/>
    <col min="4360" max="4360" width="12.85546875" style="76" customWidth="1"/>
    <col min="4361" max="4361" width="11.42578125" style="76" customWidth="1"/>
    <col min="4362" max="4362" width="14.140625" style="76" customWidth="1"/>
    <col min="4363" max="4363" width="7.7109375" style="76" customWidth="1"/>
    <col min="4364" max="4364" width="9.140625" style="76"/>
    <col min="4365" max="4365" width="12.140625" style="76" customWidth="1"/>
    <col min="4366" max="4366" width="22.140625" style="76" customWidth="1"/>
    <col min="4367" max="4608" width="9.140625" style="76"/>
    <col min="4609" max="4609" width="5.42578125" style="76" customWidth="1"/>
    <col min="4610" max="4610" width="7" style="76" customWidth="1"/>
    <col min="4611" max="4611" width="11.42578125" style="76" customWidth="1"/>
    <col min="4612" max="4612" width="11" style="76" customWidth="1"/>
    <col min="4613" max="4613" width="15" style="76" customWidth="1"/>
    <col min="4614" max="4615" width="12.7109375" style="76" customWidth="1"/>
    <col min="4616" max="4616" width="12.85546875" style="76" customWidth="1"/>
    <col min="4617" max="4617" width="11.42578125" style="76" customWidth="1"/>
    <col min="4618" max="4618" width="14.140625" style="76" customWidth="1"/>
    <col min="4619" max="4619" width="7.7109375" style="76" customWidth="1"/>
    <col min="4620" max="4620" width="9.140625" style="76"/>
    <col min="4621" max="4621" width="12.140625" style="76" customWidth="1"/>
    <col min="4622" max="4622" width="22.140625" style="76" customWidth="1"/>
    <col min="4623" max="4864" width="9.140625" style="76"/>
    <col min="4865" max="4865" width="5.42578125" style="76" customWidth="1"/>
    <col min="4866" max="4866" width="7" style="76" customWidth="1"/>
    <col min="4867" max="4867" width="11.42578125" style="76" customWidth="1"/>
    <col min="4868" max="4868" width="11" style="76" customWidth="1"/>
    <col min="4869" max="4869" width="15" style="76" customWidth="1"/>
    <col min="4870" max="4871" width="12.7109375" style="76" customWidth="1"/>
    <col min="4872" max="4872" width="12.85546875" style="76" customWidth="1"/>
    <col min="4873" max="4873" width="11.42578125" style="76" customWidth="1"/>
    <col min="4874" max="4874" width="14.140625" style="76" customWidth="1"/>
    <col min="4875" max="4875" width="7.7109375" style="76" customWidth="1"/>
    <col min="4876" max="4876" width="9.140625" style="76"/>
    <col min="4877" max="4877" width="12.140625" style="76" customWidth="1"/>
    <col min="4878" max="4878" width="22.140625" style="76" customWidth="1"/>
    <col min="4879" max="5120" width="9.140625" style="76"/>
    <col min="5121" max="5121" width="5.42578125" style="76" customWidth="1"/>
    <col min="5122" max="5122" width="7" style="76" customWidth="1"/>
    <col min="5123" max="5123" width="11.42578125" style="76" customWidth="1"/>
    <col min="5124" max="5124" width="11" style="76" customWidth="1"/>
    <col min="5125" max="5125" width="15" style="76" customWidth="1"/>
    <col min="5126" max="5127" width="12.7109375" style="76" customWidth="1"/>
    <col min="5128" max="5128" width="12.85546875" style="76" customWidth="1"/>
    <col min="5129" max="5129" width="11.42578125" style="76" customWidth="1"/>
    <col min="5130" max="5130" width="14.140625" style="76" customWidth="1"/>
    <col min="5131" max="5131" width="7.7109375" style="76" customWidth="1"/>
    <col min="5132" max="5132" width="9.140625" style="76"/>
    <col min="5133" max="5133" width="12.140625" style="76" customWidth="1"/>
    <col min="5134" max="5134" width="22.140625" style="76" customWidth="1"/>
    <col min="5135" max="5376" width="9.140625" style="76"/>
    <col min="5377" max="5377" width="5.42578125" style="76" customWidth="1"/>
    <col min="5378" max="5378" width="7" style="76" customWidth="1"/>
    <col min="5379" max="5379" width="11.42578125" style="76" customWidth="1"/>
    <col min="5380" max="5380" width="11" style="76" customWidth="1"/>
    <col min="5381" max="5381" width="15" style="76" customWidth="1"/>
    <col min="5382" max="5383" width="12.7109375" style="76" customWidth="1"/>
    <col min="5384" max="5384" width="12.85546875" style="76" customWidth="1"/>
    <col min="5385" max="5385" width="11.42578125" style="76" customWidth="1"/>
    <col min="5386" max="5386" width="14.140625" style="76" customWidth="1"/>
    <col min="5387" max="5387" width="7.7109375" style="76" customWidth="1"/>
    <col min="5388" max="5388" width="9.140625" style="76"/>
    <col min="5389" max="5389" width="12.140625" style="76" customWidth="1"/>
    <col min="5390" max="5390" width="22.140625" style="76" customWidth="1"/>
    <col min="5391" max="5632" width="9.140625" style="76"/>
    <col min="5633" max="5633" width="5.42578125" style="76" customWidth="1"/>
    <col min="5634" max="5634" width="7" style="76" customWidth="1"/>
    <col min="5635" max="5635" width="11.42578125" style="76" customWidth="1"/>
    <col min="5636" max="5636" width="11" style="76" customWidth="1"/>
    <col min="5637" max="5637" width="15" style="76" customWidth="1"/>
    <col min="5638" max="5639" width="12.7109375" style="76" customWidth="1"/>
    <col min="5640" max="5640" width="12.85546875" style="76" customWidth="1"/>
    <col min="5641" max="5641" width="11.42578125" style="76" customWidth="1"/>
    <col min="5642" max="5642" width="14.140625" style="76" customWidth="1"/>
    <col min="5643" max="5643" width="7.7109375" style="76" customWidth="1"/>
    <col min="5644" max="5644" width="9.140625" style="76"/>
    <col min="5645" max="5645" width="12.140625" style="76" customWidth="1"/>
    <col min="5646" max="5646" width="22.140625" style="76" customWidth="1"/>
    <col min="5647" max="5888" width="9.140625" style="76"/>
    <col min="5889" max="5889" width="5.42578125" style="76" customWidth="1"/>
    <col min="5890" max="5890" width="7" style="76" customWidth="1"/>
    <col min="5891" max="5891" width="11.42578125" style="76" customWidth="1"/>
    <col min="5892" max="5892" width="11" style="76" customWidth="1"/>
    <col min="5893" max="5893" width="15" style="76" customWidth="1"/>
    <col min="5894" max="5895" width="12.7109375" style="76" customWidth="1"/>
    <col min="5896" max="5896" width="12.85546875" style="76" customWidth="1"/>
    <col min="5897" max="5897" width="11.42578125" style="76" customWidth="1"/>
    <col min="5898" max="5898" width="14.140625" style="76" customWidth="1"/>
    <col min="5899" max="5899" width="7.7109375" style="76" customWidth="1"/>
    <col min="5900" max="5900" width="9.140625" style="76"/>
    <col min="5901" max="5901" width="12.140625" style="76" customWidth="1"/>
    <col min="5902" max="5902" width="22.140625" style="76" customWidth="1"/>
    <col min="5903" max="6144" width="9.140625" style="76"/>
    <col min="6145" max="6145" width="5.42578125" style="76" customWidth="1"/>
    <col min="6146" max="6146" width="7" style="76" customWidth="1"/>
    <col min="6147" max="6147" width="11.42578125" style="76" customWidth="1"/>
    <col min="6148" max="6148" width="11" style="76" customWidth="1"/>
    <col min="6149" max="6149" width="15" style="76" customWidth="1"/>
    <col min="6150" max="6151" width="12.7109375" style="76" customWidth="1"/>
    <col min="6152" max="6152" width="12.85546875" style="76" customWidth="1"/>
    <col min="6153" max="6153" width="11.42578125" style="76" customWidth="1"/>
    <col min="6154" max="6154" width="14.140625" style="76" customWidth="1"/>
    <col min="6155" max="6155" width="7.7109375" style="76" customWidth="1"/>
    <col min="6156" max="6156" width="9.140625" style="76"/>
    <col min="6157" max="6157" width="12.140625" style="76" customWidth="1"/>
    <col min="6158" max="6158" width="22.140625" style="76" customWidth="1"/>
    <col min="6159" max="6400" width="9.140625" style="76"/>
    <col min="6401" max="6401" width="5.42578125" style="76" customWidth="1"/>
    <col min="6402" max="6402" width="7" style="76" customWidth="1"/>
    <col min="6403" max="6403" width="11.42578125" style="76" customWidth="1"/>
    <col min="6404" max="6404" width="11" style="76" customWidth="1"/>
    <col min="6405" max="6405" width="15" style="76" customWidth="1"/>
    <col min="6406" max="6407" width="12.7109375" style="76" customWidth="1"/>
    <col min="6408" max="6408" width="12.85546875" style="76" customWidth="1"/>
    <col min="6409" max="6409" width="11.42578125" style="76" customWidth="1"/>
    <col min="6410" max="6410" width="14.140625" style="76" customWidth="1"/>
    <col min="6411" max="6411" width="7.7109375" style="76" customWidth="1"/>
    <col min="6412" max="6412" width="9.140625" style="76"/>
    <col min="6413" max="6413" width="12.140625" style="76" customWidth="1"/>
    <col min="6414" max="6414" width="22.140625" style="76" customWidth="1"/>
    <col min="6415" max="6656" width="9.140625" style="76"/>
    <col min="6657" max="6657" width="5.42578125" style="76" customWidth="1"/>
    <col min="6658" max="6658" width="7" style="76" customWidth="1"/>
    <col min="6659" max="6659" width="11.42578125" style="76" customWidth="1"/>
    <col min="6660" max="6660" width="11" style="76" customWidth="1"/>
    <col min="6661" max="6661" width="15" style="76" customWidth="1"/>
    <col min="6662" max="6663" width="12.7109375" style="76" customWidth="1"/>
    <col min="6664" max="6664" width="12.85546875" style="76" customWidth="1"/>
    <col min="6665" max="6665" width="11.42578125" style="76" customWidth="1"/>
    <col min="6666" max="6666" width="14.140625" style="76" customWidth="1"/>
    <col min="6667" max="6667" width="7.7109375" style="76" customWidth="1"/>
    <col min="6668" max="6668" width="9.140625" style="76"/>
    <col min="6669" max="6669" width="12.140625" style="76" customWidth="1"/>
    <col min="6670" max="6670" width="22.140625" style="76" customWidth="1"/>
    <col min="6671" max="6912" width="9.140625" style="76"/>
    <col min="6913" max="6913" width="5.42578125" style="76" customWidth="1"/>
    <col min="6914" max="6914" width="7" style="76" customWidth="1"/>
    <col min="6915" max="6915" width="11.42578125" style="76" customWidth="1"/>
    <col min="6916" max="6916" width="11" style="76" customWidth="1"/>
    <col min="6917" max="6917" width="15" style="76" customWidth="1"/>
    <col min="6918" max="6919" width="12.7109375" style="76" customWidth="1"/>
    <col min="6920" max="6920" width="12.85546875" style="76" customWidth="1"/>
    <col min="6921" max="6921" width="11.42578125" style="76" customWidth="1"/>
    <col min="6922" max="6922" width="14.140625" style="76" customWidth="1"/>
    <col min="6923" max="6923" width="7.7109375" style="76" customWidth="1"/>
    <col min="6924" max="6924" width="9.140625" style="76"/>
    <col min="6925" max="6925" width="12.140625" style="76" customWidth="1"/>
    <col min="6926" max="6926" width="22.140625" style="76" customWidth="1"/>
    <col min="6927" max="7168" width="9.140625" style="76"/>
    <col min="7169" max="7169" width="5.42578125" style="76" customWidth="1"/>
    <col min="7170" max="7170" width="7" style="76" customWidth="1"/>
    <col min="7171" max="7171" width="11.42578125" style="76" customWidth="1"/>
    <col min="7172" max="7172" width="11" style="76" customWidth="1"/>
    <col min="7173" max="7173" width="15" style="76" customWidth="1"/>
    <col min="7174" max="7175" width="12.7109375" style="76" customWidth="1"/>
    <col min="7176" max="7176" width="12.85546875" style="76" customWidth="1"/>
    <col min="7177" max="7177" width="11.42578125" style="76" customWidth="1"/>
    <col min="7178" max="7178" width="14.140625" style="76" customWidth="1"/>
    <col min="7179" max="7179" width="7.7109375" style="76" customWidth="1"/>
    <col min="7180" max="7180" width="9.140625" style="76"/>
    <col min="7181" max="7181" width="12.140625" style="76" customWidth="1"/>
    <col min="7182" max="7182" width="22.140625" style="76" customWidth="1"/>
    <col min="7183" max="7424" width="9.140625" style="76"/>
    <col min="7425" max="7425" width="5.42578125" style="76" customWidth="1"/>
    <col min="7426" max="7426" width="7" style="76" customWidth="1"/>
    <col min="7427" max="7427" width="11.42578125" style="76" customWidth="1"/>
    <col min="7428" max="7428" width="11" style="76" customWidth="1"/>
    <col min="7429" max="7429" width="15" style="76" customWidth="1"/>
    <col min="7430" max="7431" width="12.7109375" style="76" customWidth="1"/>
    <col min="7432" max="7432" width="12.85546875" style="76" customWidth="1"/>
    <col min="7433" max="7433" width="11.42578125" style="76" customWidth="1"/>
    <col min="7434" max="7434" width="14.140625" style="76" customWidth="1"/>
    <col min="7435" max="7435" width="7.7109375" style="76" customWidth="1"/>
    <col min="7436" max="7436" width="9.140625" style="76"/>
    <col min="7437" max="7437" width="12.140625" style="76" customWidth="1"/>
    <col min="7438" max="7438" width="22.140625" style="76" customWidth="1"/>
    <col min="7439" max="7680" width="9.140625" style="76"/>
    <col min="7681" max="7681" width="5.42578125" style="76" customWidth="1"/>
    <col min="7682" max="7682" width="7" style="76" customWidth="1"/>
    <col min="7683" max="7683" width="11.42578125" style="76" customWidth="1"/>
    <col min="7684" max="7684" width="11" style="76" customWidth="1"/>
    <col min="7685" max="7685" width="15" style="76" customWidth="1"/>
    <col min="7686" max="7687" width="12.7109375" style="76" customWidth="1"/>
    <col min="7688" max="7688" width="12.85546875" style="76" customWidth="1"/>
    <col min="7689" max="7689" width="11.42578125" style="76" customWidth="1"/>
    <col min="7690" max="7690" width="14.140625" style="76" customWidth="1"/>
    <col min="7691" max="7691" width="7.7109375" style="76" customWidth="1"/>
    <col min="7692" max="7692" width="9.140625" style="76"/>
    <col min="7693" max="7693" width="12.140625" style="76" customWidth="1"/>
    <col min="7694" max="7694" width="22.140625" style="76" customWidth="1"/>
    <col min="7695" max="7936" width="9.140625" style="76"/>
    <col min="7937" max="7937" width="5.42578125" style="76" customWidth="1"/>
    <col min="7938" max="7938" width="7" style="76" customWidth="1"/>
    <col min="7939" max="7939" width="11.42578125" style="76" customWidth="1"/>
    <col min="7940" max="7940" width="11" style="76" customWidth="1"/>
    <col min="7941" max="7941" width="15" style="76" customWidth="1"/>
    <col min="7942" max="7943" width="12.7109375" style="76" customWidth="1"/>
    <col min="7944" max="7944" width="12.85546875" style="76" customWidth="1"/>
    <col min="7945" max="7945" width="11.42578125" style="76" customWidth="1"/>
    <col min="7946" max="7946" width="14.140625" style="76" customWidth="1"/>
    <col min="7947" max="7947" width="7.7109375" style="76" customWidth="1"/>
    <col min="7948" max="7948" width="9.140625" style="76"/>
    <col min="7949" max="7949" width="12.140625" style="76" customWidth="1"/>
    <col min="7950" max="7950" width="22.140625" style="76" customWidth="1"/>
    <col min="7951" max="8192" width="9.140625" style="76"/>
    <col min="8193" max="8193" width="5.42578125" style="76" customWidth="1"/>
    <col min="8194" max="8194" width="7" style="76" customWidth="1"/>
    <col min="8195" max="8195" width="11.42578125" style="76" customWidth="1"/>
    <col min="8196" max="8196" width="11" style="76" customWidth="1"/>
    <col min="8197" max="8197" width="15" style="76" customWidth="1"/>
    <col min="8198" max="8199" width="12.7109375" style="76" customWidth="1"/>
    <col min="8200" max="8200" width="12.85546875" style="76" customWidth="1"/>
    <col min="8201" max="8201" width="11.42578125" style="76" customWidth="1"/>
    <col min="8202" max="8202" width="14.140625" style="76" customWidth="1"/>
    <col min="8203" max="8203" width="7.7109375" style="76" customWidth="1"/>
    <col min="8204" max="8204" width="9.140625" style="76"/>
    <col min="8205" max="8205" width="12.140625" style="76" customWidth="1"/>
    <col min="8206" max="8206" width="22.140625" style="76" customWidth="1"/>
    <col min="8207" max="8448" width="9.140625" style="76"/>
    <col min="8449" max="8449" width="5.42578125" style="76" customWidth="1"/>
    <col min="8450" max="8450" width="7" style="76" customWidth="1"/>
    <col min="8451" max="8451" width="11.42578125" style="76" customWidth="1"/>
    <col min="8452" max="8452" width="11" style="76" customWidth="1"/>
    <col min="8453" max="8453" width="15" style="76" customWidth="1"/>
    <col min="8454" max="8455" width="12.7109375" style="76" customWidth="1"/>
    <col min="8456" max="8456" width="12.85546875" style="76" customWidth="1"/>
    <col min="8457" max="8457" width="11.42578125" style="76" customWidth="1"/>
    <col min="8458" max="8458" width="14.140625" style="76" customWidth="1"/>
    <col min="8459" max="8459" width="7.7109375" style="76" customWidth="1"/>
    <col min="8460" max="8460" width="9.140625" style="76"/>
    <col min="8461" max="8461" width="12.140625" style="76" customWidth="1"/>
    <col min="8462" max="8462" width="22.140625" style="76" customWidth="1"/>
    <col min="8463" max="8704" width="9.140625" style="76"/>
    <col min="8705" max="8705" width="5.42578125" style="76" customWidth="1"/>
    <col min="8706" max="8706" width="7" style="76" customWidth="1"/>
    <col min="8707" max="8707" width="11.42578125" style="76" customWidth="1"/>
    <col min="8708" max="8708" width="11" style="76" customWidth="1"/>
    <col min="8709" max="8709" width="15" style="76" customWidth="1"/>
    <col min="8710" max="8711" width="12.7109375" style="76" customWidth="1"/>
    <col min="8712" max="8712" width="12.85546875" style="76" customWidth="1"/>
    <col min="8713" max="8713" width="11.42578125" style="76" customWidth="1"/>
    <col min="8714" max="8714" width="14.140625" style="76" customWidth="1"/>
    <col min="8715" max="8715" width="7.7109375" style="76" customWidth="1"/>
    <col min="8716" max="8716" width="9.140625" style="76"/>
    <col min="8717" max="8717" width="12.140625" style="76" customWidth="1"/>
    <col min="8718" max="8718" width="22.140625" style="76" customWidth="1"/>
    <col min="8719" max="8960" width="9.140625" style="76"/>
    <col min="8961" max="8961" width="5.42578125" style="76" customWidth="1"/>
    <col min="8962" max="8962" width="7" style="76" customWidth="1"/>
    <col min="8963" max="8963" width="11.42578125" style="76" customWidth="1"/>
    <col min="8964" max="8964" width="11" style="76" customWidth="1"/>
    <col min="8965" max="8965" width="15" style="76" customWidth="1"/>
    <col min="8966" max="8967" width="12.7109375" style="76" customWidth="1"/>
    <col min="8968" max="8968" width="12.85546875" style="76" customWidth="1"/>
    <col min="8969" max="8969" width="11.42578125" style="76" customWidth="1"/>
    <col min="8970" max="8970" width="14.140625" style="76" customWidth="1"/>
    <col min="8971" max="8971" width="7.7109375" style="76" customWidth="1"/>
    <col min="8972" max="8972" width="9.140625" style="76"/>
    <col min="8973" max="8973" width="12.140625" style="76" customWidth="1"/>
    <col min="8974" max="8974" width="22.140625" style="76" customWidth="1"/>
    <col min="8975" max="9216" width="9.140625" style="76"/>
    <col min="9217" max="9217" width="5.42578125" style="76" customWidth="1"/>
    <col min="9218" max="9218" width="7" style="76" customWidth="1"/>
    <col min="9219" max="9219" width="11.42578125" style="76" customWidth="1"/>
    <col min="9220" max="9220" width="11" style="76" customWidth="1"/>
    <col min="9221" max="9221" width="15" style="76" customWidth="1"/>
    <col min="9222" max="9223" width="12.7109375" style="76" customWidth="1"/>
    <col min="9224" max="9224" width="12.85546875" style="76" customWidth="1"/>
    <col min="9225" max="9225" width="11.42578125" style="76" customWidth="1"/>
    <col min="9226" max="9226" width="14.140625" style="76" customWidth="1"/>
    <col min="9227" max="9227" width="7.7109375" style="76" customWidth="1"/>
    <col min="9228" max="9228" width="9.140625" style="76"/>
    <col min="9229" max="9229" width="12.140625" style="76" customWidth="1"/>
    <col min="9230" max="9230" width="22.140625" style="76" customWidth="1"/>
    <col min="9231" max="9472" width="9.140625" style="76"/>
    <col min="9473" max="9473" width="5.42578125" style="76" customWidth="1"/>
    <col min="9474" max="9474" width="7" style="76" customWidth="1"/>
    <col min="9475" max="9475" width="11.42578125" style="76" customWidth="1"/>
    <col min="9476" max="9476" width="11" style="76" customWidth="1"/>
    <col min="9477" max="9477" width="15" style="76" customWidth="1"/>
    <col min="9478" max="9479" width="12.7109375" style="76" customWidth="1"/>
    <col min="9480" max="9480" width="12.85546875" style="76" customWidth="1"/>
    <col min="9481" max="9481" width="11.42578125" style="76" customWidth="1"/>
    <col min="9482" max="9482" width="14.140625" style="76" customWidth="1"/>
    <col min="9483" max="9483" width="7.7109375" style="76" customWidth="1"/>
    <col min="9484" max="9484" width="9.140625" style="76"/>
    <col min="9485" max="9485" width="12.140625" style="76" customWidth="1"/>
    <col min="9486" max="9486" width="22.140625" style="76" customWidth="1"/>
    <col min="9487" max="9728" width="9.140625" style="76"/>
    <col min="9729" max="9729" width="5.42578125" style="76" customWidth="1"/>
    <col min="9730" max="9730" width="7" style="76" customWidth="1"/>
    <col min="9731" max="9731" width="11.42578125" style="76" customWidth="1"/>
    <col min="9732" max="9732" width="11" style="76" customWidth="1"/>
    <col min="9733" max="9733" width="15" style="76" customWidth="1"/>
    <col min="9734" max="9735" width="12.7109375" style="76" customWidth="1"/>
    <col min="9736" max="9736" width="12.85546875" style="76" customWidth="1"/>
    <col min="9737" max="9737" width="11.42578125" style="76" customWidth="1"/>
    <col min="9738" max="9738" width="14.140625" style="76" customWidth="1"/>
    <col min="9739" max="9739" width="7.7109375" style="76" customWidth="1"/>
    <col min="9740" max="9740" width="9.140625" style="76"/>
    <col min="9741" max="9741" width="12.140625" style="76" customWidth="1"/>
    <col min="9742" max="9742" width="22.140625" style="76" customWidth="1"/>
    <col min="9743" max="9984" width="9.140625" style="76"/>
    <col min="9985" max="9985" width="5.42578125" style="76" customWidth="1"/>
    <col min="9986" max="9986" width="7" style="76" customWidth="1"/>
    <col min="9987" max="9987" width="11.42578125" style="76" customWidth="1"/>
    <col min="9988" max="9988" width="11" style="76" customWidth="1"/>
    <col min="9989" max="9989" width="15" style="76" customWidth="1"/>
    <col min="9990" max="9991" width="12.7109375" style="76" customWidth="1"/>
    <col min="9992" max="9992" width="12.85546875" style="76" customWidth="1"/>
    <col min="9993" max="9993" width="11.42578125" style="76" customWidth="1"/>
    <col min="9994" max="9994" width="14.140625" style="76" customWidth="1"/>
    <col min="9995" max="9995" width="7.7109375" style="76" customWidth="1"/>
    <col min="9996" max="9996" width="9.140625" style="76"/>
    <col min="9997" max="9997" width="12.140625" style="76" customWidth="1"/>
    <col min="9998" max="9998" width="22.140625" style="76" customWidth="1"/>
    <col min="9999" max="10240" width="9.140625" style="76"/>
    <col min="10241" max="10241" width="5.42578125" style="76" customWidth="1"/>
    <col min="10242" max="10242" width="7" style="76" customWidth="1"/>
    <col min="10243" max="10243" width="11.42578125" style="76" customWidth="1"/>
    <col min="10244" max="10244" width="11" style="76" customWidth="1"/>
    <col min="10245" max="10245" width="15" style="76" customWidth="1"/>
    <col min="10246" max="10247" width="12.7109375" style="76" customWidth="1"/>
    <col min="10248" max="10248" width="12.85546875" style="76" customWidth="1"/>
    <col min="10249" max="10249" width="11.42578125" style="76" customWidth="1"/>
    <col min="10250" max="10250" width="14.140625" style="76" customWidth="1"/>
    <col min="10251" max="10251" width="7.7109375" style="76" customWidth="1"/>
    <col min="10252" max="10252" width="9.140625" style="76"/>
    <col min="10253" max="10253" width="12.140625" style="76" customWidth="1"/>
    <col min="10254" max="10254" width="22.140625" style="76" customWidth="1"/>
    <col min="10255" max="10496" width="9.140625" style="76"/>
    <col min="10497" max="10497" width="5.42578125" style="76" customWidth="1"/>
    <col min="10498" max="10498" width="7" style="76" customWidth="1"/>
    <col min="10499" max="10499" width="11.42578125" style="76" customWidth="1"/>
    <col min="10500" max="10500" width="11" style="76" customWidth="1"/>
    <col min="10501" max="10501" width="15" style="76" customWidth="1"/>
    <col min="10502" max="10503" width="12.7109375" style="76" customWidth="1"/>
    <col min="10504" max="10504" width="12.85546875" style="76" customWidth="1"/>
    <col min="10505" max="10505" width="11.42578125" style="76" customWidth="1"/>
    <col min="10506" max="10506" width="14.140625" style="76" customWidth="1"/>
    <col min="10507" max="10507" width="7.7109375" style="76" customWidth="1"/>
    <col min="10508" max="10508" width="9.140625" style="76"/>
    <col min="10509" max="10509" width="12.140625" style="76" customWidth="1"/>
    <col min="10510" max="10510" width="22.140625" style="76" customWidth="1"/>
    <col min="10511" max="10752" width="9.140625" style="76"/>
    <col min="10753" max="10753" width="5.42578125" style="76" customWidth="1"/>
    <col min="10754" max="10754" width="7" style="76" customWidth="1"/>
    <col min="10755" max="10755" width="11.42578125" style="76" customWidth="1"/>
    <col min="10756" max="10756" width="11" style="76" customWidth="1"/>
    <col min="10757" max="10757" width="15" style="76" customWidth="1"/>
    <col min="10758" max="10759" width="12.7109375" style="76" customWidth="1"/>
    <col min="10760" max="10760" width="12.85546875" style="76" customWidth="1"/>
    <col min="10761" max="10761" width="11.42578125" style="76" customWidth="1"/>
    <col min="10762" max="10762" width="14.140625" style="76" customWidth="1"/>
    <col min="10763" max="10763" width="7.7109375" style="76" customWidth="1"/>
    <col min="10764" max="10764" width="9.140625" style="76"/>
    <col min="10765" max="10765" width="12.140625" style="76" customWidth="1"/>
    <col min="10766" max="10766" width="22.140625" style="76" customWidth="1"/>
    <col min="10767" max="11008" width="9.140625" style="76"/>
    <col min="11009" max="11009" width="5.42578125" style="76" customWidth="1"/>
    <col min="11010" max="11010" width="7" style="76" customWidth="1"/>
    <col min="11011" max="11011" width="11.42578125" style="76" customWidth="1"/>
    <col min="11012" max="11012" width="11" style="76" customWidth="1"/>
    <col min="11013" max="11013" width="15" style="76" customWidth="1"/>
    <col min="11014" max="11015" width="12.7109375" style="76" customWidth="1"/>
    <col min="11016" max="11016" width="12.85546875" style="76" customWidth="1"/>
    <col min="11017" max="11017" width="11.42578125" style="76" customWidth="1"/>
    <col min="11018" max="11018" width="14.140625" style="76" customWidth="1"/>
    <col min="11019" max="11019" width="7.7109375" style="76" customWidth="1"/>
    <col min="11020" max="11020" width="9.140625" style="76"/>
    <col min="11021" max="11021" width="12.140625" style="76" customWidth="1"/>
    <col min="11022" max="11022" width="22.140625" style="76" customWidth="1"/>
    <col min="11023" max="11264" width="9.140625" style="76"/>
    <col min="11265" max="11265" width="5.42578125" style="76" customWidth="1"/>
    <col min="11266" max="11266" width="7" style="76" customWidth="1"/>
    <col min="11267" max="11267" width="11.42578125" style="76" customWidth="1"/>
    <col min="11268" max="11268" width="11" style="76" customWidth="1"/>
    <col min="11269" max="11269" width="15" style="76" customWidth="1"/>
    <col min="11270" max="11271" width="12.7109375" style="76" customWidth="1"/>
    <col min="11272" max="11272" width="12.85546875" style="76" customWidth="1"/>
    <col min="11273" max="11273" width="11.42578125" style="76" customWidth="1"/>
    <col min="11274" max="11274" width="14.140625" style="76" customWidth="1"/>
    <col min="11275" max="11275" width="7.7109375" style="76" customWidth="1"/>
    <col min="11276" max="11276" width="9.140625" style="76"/>
    <col min="11277" max="11277" width="12.140625" style="76" customWidth="1"/>
    <col min="11278" max="11278" width="22.140625" style="76" customWidth="1"/>
    <col min="11279" max="11520" width="9.140625" style="76"/>
    <col min="11521" max="11521" width="5.42578125" style="76" customWidth="1"/>
    <col min="11522" max="11522" width="7" style="76" customWidth="1"/>
    <col min="11523" max="11523" width="11.42578125" style="76" customWidth="1"/>
    <col min="11524" max="11524" width="11" style="76" customWidth="1"/>
    <col min="11525" max="11525" width="15" style="76" customWidth="1"/>
    <col min="11526" max="11527" width="12.7109375" style="76" customWidth="1"/>
    <col min="11528" max="11528" width="12.85546875" style="76" customWidth="1"/>
    <col min="11529" max="11529" width="11.42578125" style="76" customWidth="1"/>
    <col min="11530" max="11530" width="14.140625" style="76" customWidth="1"/>
    <col min="11531" max="11531" width="7.7109375" style="76" customWidth="1"/>
    <col min="11532" max="11532" width="9.140625" style="76"/>
    <col min="11533" max="11533" width="12.140625" style="76" customWidth="1"/>
    <col min="11534" max="11534" width="22.140625" style="76" customWidth="1"/>
    <col min="11535" max="11776" width="9.140625" style="76"/>
    <col min="11777" max="11777" width="5.42578125" style="76" customWidth="1"/>
    <col min="11778" max="11778" width="7" style="76" customWidth="1"/>
    <col min="11779" max="11779" width="11.42578125" style="76" customWidth="1"/>
    <col min="11780" max="11780" width="11" style="76" customWidth="1"/>
    <col min="11781" max="11781" width="15" style="76" customWidth="1"/>
    <col min="11782" max="11783" width="12.7109375" style="76" customWidth="1"/>
    <col min="11784" max="11784" width="12.85546875" style="76" customWidth="1"/>
    <col min="11785" max="11785" width="11.42578125" style="76" customWidth="1"/>
    <col min="11786" max="11786" width="14.140625" style="76" customWidth="1"/>
    <col min="11787" max="11787" width="7.7109375" style="76" customWidth="1"/>
    <col min="11788" max="11788" width="9.140625" style="76"/>
    <col min="11789" max="11789" width="12.140625" style="76" customWidth="1"/>
    <col min="11790" max="11790" width="22.140625" style="76" customWidth="1"/>
    <col min="11791" max="12032" width="9.140625" style="76"/>
    <col min="12033" max="12033" width="5.42578125" style="76" customWidth="1"/>
    <col min="12034" max="12034" width="7" style="76" customWidth="1"/>
    <col min="12035" max="12035" width="11.42578125" style="76" customWidth="1"/>
    <col min="12036" max="12036" width="11" style="76" customWidth="1"/>
    <col min="12037" max="12037" width="15" style="76" customWidth="1"/>
    <col min="12038" max="12039" width="12.7109375" style="76" customWidth="1"/>
    <col min="12040" max="12040" width="12.85546875" style="76" customWidth="1"/>
    <col min="12041" max="12041" width="11.42578125" style="76" customWidth="1"/>
    <col min="12042" max="12042" width="14.140625" style="76" customWidth="1"/>
    <col min="12043" max="12043" width="7.7109375" style="76" customWidth="1"/>
    <col min="12044" max="12044" width="9.140625" style="76"/>
    <col min="12045" max="12045" width="12.140625" style="76" customWidth="1"/>
    <col min="12046" max="12046" width="22.140625" style="76" customWidth="1"/>
    <col min="12047" max="12288" width="9.140625" style="76"/>
    <col min="12289" max="12289" width="5.42578125" style="76" customWidth="1"/>
    <col min="12290" max="12290" width="7" style="76" customWidth="1"/>
    <col min="12291" max="12291" width="11.42578125" style="76" customWidth="1"/>
    <col min="12292" max="12292" width="11" style="76" customWidth="1"/>
    <col min="12293" max="12293" width="15" style="76" customWidth="1"/>
    <col min="12294" max="12295" width="12.7109375" style="76" customWidth="1"/>
    <col min="12296" max="12296" width="12.85546875" style="76" customWidth="1"/>
    <col min="12297" max="12297" width="11.42578125" style="76" customWidth="1"/>
    <col min="12298" max="12298" width="14.140625" style="76" customWidth="1"/>
    <col min="12299" max="12299" width="7.7109375" style="76" customWidth="1"/>
    <col min="12300" max="12300" width="9.140625" style="76"/>
    <col min="12301" max="12301" width="12.140625" style="76" customWidth="1"/>
    <col min="12302" max="12302" width="22.140625" style="76" customWidth="1"/>
    <col min="12303" max="12544" width="9.140625" style="76"/>
    <col min="12545" max="12545" width="5.42578125" style="76" customWidth="1"/>
    <col min="12546" max="12546" width="7" style="76" customWidth="1"/>
    <col min="12547" max="12547" width="11.42578125" style="76" customWidth="1"/>
    <col min="12548" max="12548" width="11" style="76" customWidth="1"/>
    <col min="12549" max="12549" width="15" style="76" customWidth="1"/>
    <col min="12550" max="12551" width="12.7109375" style="76" customWidth="1"/>
    <col min="12552" max="12552" width="12.85546875" style="76" customWidth="1"/>
    <col min="12553" max="12553" width="11.42578125" style="76" customWidth="1"/>
    <col min="12554" max="12554" width="14.140625" style="76" customWidth="1"/>
    <col min="12555" max="12555" width="7.7109375" style="76" customWidth="1"/>
    <col min="12556" max="12556" width="9.140625" style="76"/>
    <col min="12557" max="12557" width="12.140625" style="76" customWidth="1"/>
    <col min="12558" max="12558" width="22.140625" style="76" customWidth="1"/>
    <col min="12559" max="12800" width="9.140625" style="76"/>
    <col min="12801" max="12801" width="5.42578125" style="76" customWidth="1"/>
    <col min="12802" max="12802" width="7" style="76" customWidth="1"/>
    <col min="12803" max="12803" width="11.42578125" style="76" customWidth="1"/>
    <col min="12804" max="12804" width="11" style="76" customWidth="1"/>
    <col min="12805" max="12805" width="15" style="76" customWidth="1"/>
    <col min="12806" max="12807" width="12.7109375" style="76" customWidth="1"/>
    <col min="12808" max="12808" width="12.85546875" style="76" customWidth="1"/>
    <col min="12809" max="12809" width="11.42578125" style="76" customWidth="1"/>
    <col min="12810" max="12810" width="14.140625" style="76" customWidth="1"/>
    <col min="12811" max="12811" width="7.7109375" style="76" customWidth="1"/>
    <col min="12812" max="12812" width="9.140625" style="76"/>
    <col min="12813" max="12813" width="12.140625" style="76" customWidth="1"/>
    <col min="12814" max="12814" width="22.140625" style="76" customWidth="1"/>
    <col min="12815" max="13056" width="9.140625" style="76"/>
    <col min="13057" max="13057" width="5.42578125" style="76" customWidth="1"/>
    <col min="13058" max="13058" width="7" style="76" customWidth="1"/>
    <col min="13059" max="13059" width="11.42578125" style="76" customWidth="1"/>
    <col min="13060" max="13060" width="11" style="76" customWidth="1"/>
    <col min="13061" max="13061" width="15" style="76" customWidth="1"/>
    <col min="13062" max="13063" width="12.7109375" style="76" customWidth="1"/>
    <col min="13064" max="13064" width="12.85546875" style="76" customWidth="1"/>
    <col min="13065" max="13065" width="11.42578125" style="76" customWidth="1"/>
    <col min="13066" max="13066" width="14.140625" style="76" customWidth="1"/>
    <col min="13067" max="13067" width="7.7109375" style="76" customWidth="1"/>
    <col min="13068" max="13068" width="9.140625" style="76"/>
    <col min="13069" max="13069" width="12.140625" style="76" customWidth="1"/>
    <col min="13070" max="13070" width="22.140625" style="76" customWidth="1"/>
    <col min="13071" max="13312" width="9.140625" style="76"/>
    <col min="13313" max="13313" width="5.42578125" style="76" customWidth="1"/>
    <col min="13314" max="13314" width="7" style="76" customWidth="1"/>
    <col min="13315" max="13315" width="11.42578125" style="76" customWidth="1"/>
    <col min="13316" max="13316" width="11" style="76" customWidth="1"/>
    <col min="13317" max="13317" width="15" style="76" customWidth="1"/>
    <col min="13318" max="13319" width="12.7109375" style="76" customWidth="1"/>
    <col min="13320" max="13320" width="12.85546875" style="76" customWidth="1"/>
    <col min="13321" max="13321" width="11.42578125" style="76" customWidth="1"/>
    <col min="13322" max="13322" width="14.140625" style="76" customWidth="1"/>
    <col min="13323" max="13323" width="7.7109375" style="76" customWidth="1"/>
    <col min="13324" max="13324" width="9.140625" style="76"/>
    <col min="13325" max="13325" width="12.140625" style="76" customWidth="1"/>
    <col min="13326" max="13326" width="22.140625" style="76" customWidth="1"/>
    <col min="13327" max="13568" width="9.140625" style="76"/>
    <col min="13569" max="13569" width="5.42578125" style="76" customWidth="1"/>
    <col min="13570" max="13570" width="7" style="76" customWidth="1"/>
    <col min="13571" max="13571" width="11.42578125" style="76" customWidth="1"/>
    <col min="13572" max="13572" width="11" style="76" customWidth="1"/>
    <col min="13573" max="13573" width="15" style="76" customWidth="1"/>
    <col min="13574" max="13575" width="12.7109375" style="76" customWidth="1"/>
    <col min="13576" max="13576" width="12.85546875" style="76" customWidth="1"/>
    <col min="13577" max="13577" width="11.42578125" style="76" customWidth="1"/>
    <col min="13578" max="13578" width="14.140625" style="76" customWidth="1"/>
    <col min="13579" max="13579" width="7.7109375" style="76" customWidth="1"/>
    <col min="13580" max="13580" width="9.140625" style="76"/>
    <col min="13581" max="13581" width="12.140625" style="76" customWidth="1"/>
    <col min="13582" max="13582" width="22.140625" style="76" customWidth="1"/>
    <col min="13583" max="13824" width="9.140625" style="76"/>
    <col min="13825" max="13825" width="5.42578125" style="76" customWidth="1"/>
    <col min="13826" max="13826" width="7" style="76" customWidth="1"/>
    <col min="13827" max="13827" width="11.42578125" style="76" customWidth="1"/>
    <col min="13828" max="13828" width="11" style="76" customWidth="1"/>
    <col min="13829" max="13829" width="15" style="76" customWidth="1"/>
    <col min="13830" max="13831" width="12.7109375" style="76" customWidth="1"/>
    <col min="13832" max="13832" width="12.85546875" style="76" customWidth="1"/>
    <col min="13833" max="13833" width="11.42578125" style="76" customWidth="1"/>
    <col min="13834" max="13834" width="14.140625" style="76" customWidth="1"/>
    <col min="13835" max="13835" width="7.7109375" style="76" customWidth="1"/>
    <col min="13836" max="13836" width="9.140625" style="76"/>
    <col min="13837" max="13837" width="12.140625" style="76" customWidth="1"/>
    <col min="13838" max="13838" width="22.140625" style="76" customWidth="1"/>
    <col min="13839" max="14080" width="9.140625" style="76"/>
    <col min="14081" max="14081" width="5.42578125" style="76" customWidth="1"/>
    <col min="14082" max="14082" width="7" style="76" customWidth="1"/>
    <col min="14083" max="14083" width="11.42578125" style="76" customWidth="1"/>
    <col min="14084" max="14084" width="11" style="76" customWidth="1"/>
    <col min="14085" max="14085" width="15" style="76" customWidth="1"/>
    <col min="14086" max="14087" width="12.7109375" style="76" customWidth="1"/>
    <col min="14088" max="14088" width="12.85546875" style="76" customWidth="1"/>
    <col min="14089" max="14089" width="11.42578125" style="76" customWidth="1"/>
    <col min="14090" max="14090" width="14.140625" style="76" customWidth="1"/>
    <col min="14091" max="14091" width="7.7109375" style="76" customWidth="1"/>
    <col min="14092" max="14092" width="9.140625" style="76"/>
    <col min="14093" max="14093" width="12.140625" style="76" customWidth="1"/>
    <col min="14094" max="14094" width="22.140625" style="76" customWidth="1"/>
    <col min="14095" max="14336" width="9.140625" style="76"/>
    <col min="14337" max="14337" width="5.42578125" style="76" customWidth="1"/>
    <col min="14338" max="14338" width="7" style="76" customWidth="1"/>
    <col min="14339" max="14339" width="11.42578125" style="76" customWidth="1"/>
    <col min="14340" max="14340" width="11" style="76" customWidth="1"/>
    <col min="14341" max="14341" width="15" style="76" customWidth="1"/>
    <col min="14342" max="14343" width="12.7109375" style="76" customWidth="1"/>
    <col min="14344" max="14344" width="12.85546875" style="76" customWidth="1"/>
    <col min="14345" max="14345" width="11.42578125" style="76" customWidth="1"/>
    <col min="14346" max="14346" width="14.140625" style="76" customWidth="1"/>
    <col min="14347" max="14347" width="7.7109375" style="76" customWidth="1"/>
    <col min="14348" max="14348" width="9.140625" style="76"/>
    <col min="14349" max="14349" width="12.140625" style="76" customWidth="1"/>
    <col min="14350" max="14350" width="22.140625" style="76" customWidth="1"/>
    <col min="14351" max="14592" width="9.140625" style="76"/>
    <col min="14593" max="14593" width="5.42578125" style="76" customWidth="1"/>
    <col min="14594" max="14594" width="7" style="76" customWidth="1"/>
    <col min="14595" max="14595" width="11.42578125" style="76" customWidth="1"/>
    <col min="14596" max="14596" width="11" style="76" customWidth="1"/>
    <col min="14597" max="14597" width="15" style="76" customWidth="1"/>
    <col min="14598" max="14599" width="12.7109375" style="76" customWidth="1"/>
    <col min="14600" max="14600" width="12.85546875" style="76" customWidth="1"/>
    <col min="14601" max="14601" width="11.42578125" style="76" customWidth="1"/>
    <col min="14602" max="14602" width="14.140625" style="76" customWidth="1"/>
    <col min="14603" max="14603" width="7.7109375" style="76" customWidth="1"/>
    <col min="14604" max="14604" width="9.140625" style="76"/>
    <col min="14605" max="14605" width="12.140625" style="76" customWidth="1"/>
    <col min="14606" max="14606" width="22.140625" style="76" customWidth="1"/>
    <col min="14607" max="14848" width="9.140625" style="76"/>
    <col min="14849" max="14849" width="5.42578125" style="76" customWidth="1"/>
    <col min="14850" max="14850" width="7" style="76" customWidth="1"/>
    <col min="14851" max="14851" width="11.42578125" style="76" customWidth="1"/>
    <col min="14852" max="14852" width="11" style="76" customWidth="1"/>
    <col min="14853" max="14853" width="15" style="76" customWidth="1"/>
    <col min="14854" max="14855" width="12.7109375" style="76" customWidth="1"/>
    <col min="14856" max="14856" width="12.85546875" style="76" customWidth="1"/>
    <col min="14857" max="14857" width="11.42578125" style="76" customWidth="1"/>
    <col min="14858" max="14858" width="14.140625" style="76" customWidth="1"/>
    <col min="14859" max="14859" width="7.7109375" style="76" customWidth="1"/>
    <col min="14860" max="14860" width="9.140625" style="76"/>
    <col min="14861" max="14861" width="12.140625" style="76" customWidth="1"/>
    <col min="14862" max="14862" width="22.140625" style="76" customWidth="1"/>
    <col min="14863" max="15104" width="9.140625" style="76"/>
    <col min="15105" max="15105" width="5.42578125" style="76" customWidth="1"/>
    <col min="15106" max="15106" width="7" style="76" customWidth="1"/>
    <col min="15107" max="15107" width="11.42578125" style="76" customWidth="1"/>
    <col min="15108" max="15108" width="11" style="76" customWidth="1"/>
    <col min="15109" max="15109" width="15" style="76" customWidth="1"/>
    <col min="15110" max="15111" width="12.7109375" style="76" customWidth="1"/>
    <col min="15112" max="15112" width="12.85546875" style="76" customWidth="1"/>
    <col min="15113" max="15113" width="11.42578125" style="76" customWidth="1"/>
    <col min="15114" max="15114" width="14.140625" style="76" customWidth="1"/>
    <col min="15115" max="15115" width="7.7109375" style="76" customWidth="1"/>
    <col min="15116" max="15116" width="9.140625" style="76"/>
    <col min="15117" max="15117" width="12.140625" style="76" customWidth="1"/>
    <col min="15118" max="15118" width="22.140625" style="76" customWidth="1"/>
    <col min="15119" max="15360" width="9.140625" style="76"/>
    <col min="15361" max="15361" width="5.42578125" style="76" customWidth="1"/>
    <col min="15362" max="15362" width="7" style="76" customWidth="1"/>
    <col min="15363" max="15363" width="11.42578125" style="76" customWidth="1"/>
    <col min="15364" max="15364" width="11" style="76" customWidth="1"/>
    <col min="15365" max="15365" width="15" style="76" customWidth="1"/>
    <col min="15366" max="15367" width="12.7109375" style="76" customWidth="1"/>
    <col min="15368" max="15368" width="12.85546875" style="76" customWidth="1"/>
    <col min="15369" max="15369" width="11.42578125" style="76" customWidth="1"/>
    <col min="15370" max="15370" width="14.140625" style="76" customWidth="1"/>
    <col min="15371" max="15371" width="7.7109375" style="76" customWidth="1"/>
    <col min="15372" max="15372" width="9.140625" style="76"/>
    <col min="15373" max="15373" width="12.140625" style="76" customWidth="1"/>
    <col min="15374" max="15374" width="22.140625" style="76" customWidth="1"/>
    <col min="15375" max="15616" width="9.140625" style="76"/>
    <col min="15617" max="15617" width="5.42578125" style="76" customWidth="1"/>
    <col min="15618" max="15618" width="7" style="76" customWidth="1"/>
    <col min="15619" max="15619" width="11.42578125" style="76" customWidth="1"/>
    <col min="15620" max="15620" width="11" style="76" customWidth="1"/>
    <col min="15621" max="15621" width="15" style="76" customWidth="1"/>
    <col min="15622" max="15623" width="12.7109375" style="76" customWidth="1"/>
    <col min="15624" max="15624" width="12.85546875" style="76" customWidth="1"/>
    <col min="15625" max="15625" width="11.42578125" style="76" customWidth="1"/>
    <col min="15626" max="15626" width="14.140625" style="76" customWidth="1"/>
    <col min="15627" max="15627" width="7.7109375" style="76" customWidth="1"/>
    <col min="15628" max="15628" width="9.140625" style="76"/>
    <col min="15629" max="15629" width="12.140625" style="76" customWidth="1"/>
    <col min="15630" max="15630" width="22.140625" style="76" customWidth="1"/>
    <col min="15631" max="15872" width="9.140625" style="76"/>
    <col min="15873" max="15873" width="5.42578125" style="76" customWidth="1"/>
    <col min="15874" max="15874" width="7" style="76" customWidth="1"/>
    <col min="15875" max="15875" width="11.42578125" style="76" customWidth="1"/>
    <col min="15876" max="15876" width="11" style="76" customWidth="1"/>
    <col min="15877" max="15877" width="15" style="76" customWidth="1"/>
    <col min="15878" max="15879" width="12.7109375" style="76" customWidth="1"/>
    <col min="15880" max="15880" width="12.85546875" style="76" customWidth="1"/>
    <col min="15881" max="15881" width="11.42578125" style="76" customWidth="1"/>
    <col min="15882" max="15882" width="14.140625" style="76" customWidth="1"/>
    <col min="15883" max="15883" width="7.7109375" style="76" customWidth="1"/>
    <col min="15884" max="15884" width="9.140625" style="76"/>
    <col min="15885" max="15885" width="12.140625" style="76" customWidth="1"/>
    <col min="15886" max="15886" width="22.140625" style="76" customWidth="1"/>
    <col min="15887" max="16128" width="9.140625" style="76"/>
    <col min="16129" max="16129" width="5.42578125" style="76" customWidth="1"/>
    <col min="16130" max="16130" width="7" style="76" customWidth="1"/>
    <col min="16131" max="16131" width="11.42578125" style="76" customWidth="1"/>
    <col min="16132" max="16132" width="11" style="76" customWidth="1"/>
    <col min="16133" max="16133" width="15" style="76" customWidth="1"/>
    <col min="16134" max="16135" width="12.7109375" style="76" customWidth="1"/>
    <col min="16136" max="16136" width="12.85546875" style="76" customWidth="1"/>
    <col min="16137" max="16137" width="11.42578125" style="76" customWidth="1"/>
    <col min="16138" max="16138" width="14.140625" style="76" customWidth="1"/>
    <col min="16139" max="16139" width="7.7109375" style="76" customWidth="1"/>
    <col min="16140" max="16140" width="9.140625" style="76"/>
    <col min="16141" max="16141" width="12.140625" style="76" customWidth="1"/>
    <col min="16142" max="16142" width="22.140625" style="76" customWidth="1"/>
    <col min="16143" max="16384" width="9.140625" style="76"/>
  </cols>
  <sheetData>
    <row r="1" spans="2:17" ht="14.25" customHeight="1" thickBot="1" x14ac:dyDescent="0.25"/>
    <row r="2" spans="2:17" ht="13.5" thickBot="1" x14ac:dyDescent="0.25">
      <c r="B2" s="79" t="s">
        <v>52</v>
      </c>
      <c r="C2" s="80" t="s">
        <v>84</v>
      </c>
      <c r="D2" s="210" t="s">
        <v>123</v>
      </c>
      <c r="E2" s="210"/>
      <c r="F2" s="210" t="s">
        <v>124</v>
      </c>
      <c r="G2" s="210"/>
      <c r="H2" s="210" t="s">
        <v>125</v>
      </c>
      <c r="I2" s="210"/>
      <c r="J2" s="210" t="s">
        <v>150</v>
      </c>
      <c r="K2" s="210"/>
      <c r="L2" s="210" t="s">
        <v>155</v>
      </c>
      <c r="M2" s="211"/>
      <c r="N2" s="99" t="s">
        <v>160</v>
      </c>
    </row>
    <row r="3" spans="2:17" ht="29.25" customHeight="1" x14ac:dyDescent="0.2">
      <c r="B3" s="217" t="s">
        <v>50</v>
      </c>
      <c r="C3" s="81" t="s">
        <v>85</v>
      </c>
      <c r="D3" s="223" t="s">
        <v>167</v>
      </c>
      <c r="E3" s="224"/>
      <c r="F3" s="223" t="s">
        <v>246</v>
      </c>
      <c r="G3" s="224"/>
      <c r="H3" s="223" t="s">
        <v>87</v>
      </c>
      <c r="I3" s="224"/>
      <c r="J3" s="220" t="s">
        <v>86</v>
      </c>
      <c r="K3" s="221"/>
      <c r="L3" s="220" t="s">
        <v>153</v>
      </c>
      <c r="M3" s="221"/>
      <c r="N3" s="154" t="s">
        <v>158</v>
      </c>
    </row>
    <row r="4" spans="2:17" ht="18" customHeight="1" x14ac:dyDescent="0.2">
      <c r="B4" s="199"/>
      <c r="C4" s="82"/>
      <c r="D4" s="190" t="s">
        <v>89</v>
      </c>
      <c r="E4" s="191"/>
      <c r="F4" s="190" t="s">
        <v>238</v>
      </c>
      <c r="G4" s="191"/>
      <c r="H4" s="190" t="s">
        <v>90</v>
      </c>
      <c r="I4" s="191"/>
      <c r="J4" s="190" t="s">
        <v>89</v>
      </c>
      <c r="K4" s="191"/>
      <c r="L4" s="190" t="s">
        <v>90</v>
      </c>
      <c r="M4" s="191"/>
      <c r="N4" s="128" t="s">
        <v>240</v>
      </c>
    </row>
    <row r="5" spans="2:17" ht="18" customHeight="1" thickBot="1" x14ac:dyDescent="0.25">
      <c r="B5" s="222"/>
      <c r="C5" s="83" t="s">
        <v>91</v>
      </c>
      <c r="D5" s="196" t="s">
        <v>81</v>
      </c>
      <c r="E5" s="197"/>
      <c r="F5" s="196" t="s">
        <v>53</v>
      </c>
      <c r="G5" s="197"/>
      <c r="H5" s="196" t="s">
        <v>81</v>
      </c>
      <c r="I5" s="197"/>
      <c r="J5" s="196" t="s">
        <v>74</v>
      </c>
      <c r="K5" s="197"/>
      <c r="L5" s="196" t="s">
        <v>81</v>
      </c>
      <c r="M5" s="197"/>
      <c r="N5" s="155" t="s">
        <v>74</v>
      </c>
    </row>
    <row r="6" spans="2:17" ht="27" customHeight="1" x14ac:dyDescent="0.2">
      <c r="B6" s="217" t="s">
        <v>49</v>
      </c>
      <c r="C6" s="81" t="s">
        <v>92</v>
      </c>
      <c r="D6" s="204" t="s">
        <v>247</v>
      </c>
      <c r="E6" s="204"/>
      <c r="F6" s="204" t="s">
        <v>239</v>
      </c>
      <c r="G6" s="204"/>
      <c r="H6" s="194" t="s">
        <v>200</v>
      </c>
      <c r="I6" s="194"/>
      <c r="J6" s="204" t="s">
        <v>142</v>
      </c>
      <c r="K6" s="204"/>
      <c r="L6" s="204" t="s">
        <v>251</v>
      </c>
      <c r="M6" s="204"/>
      <c r="N6" s="156"/>
    </row>
    <row r="7" spans="2:17" ht="30" customHeight="1" x14ac:dyDescent="0.2">
      <c r="B7" s="218"/>
      <c r="C7" s="82" t="s">
        <v>93</v>
      </c>
      <c r="D7" s="183" t="s">
        <v>201</v>
      </c>
      <c r="E7" s="183"/>
      <c r="F7" s="183" t="s">
        <v>147</v>
      </c>
      <c r="G7" s="183"/>
      <c r="H7" s="183" t="s">
        <v>94</v>
      </c>
      <c r="I7" s="183"/>
      <c r="J7" s="183" t="s">
        <v>80</v>
      </c>
      <c r="K7" s="183"/>
      <c r="L7" s="183" t="s">
        <v>103</v>
      </c>
      <c r="M7" s="183"/>
      <c r="N7" s="128" t="s">
        <v>128</v>
      </c>
    </row>
    <row r="8" spans="2:17" ht="18.75" customHeight="1" x14ac:dyDescent="0.2">
      <c r="B8" s="218"/>
      <c r="C8" s="82" t="s">
        <v>95</v>
      </c>
      <c r="D8" s="205" t="s">
        <v>129</v>
      </c>
      <c r="E8" s="205"/>
      <c r="F8" s="206" t="s">
        <v>34</v>
      </c>
      <c r="G8" s="183"/>
      <c r="H8" s="206"/>
      <c r="I8" s="183"/>
      <c r="J8" s="183" t="s">
        <v>96</v>
      </c>
      <c r="K8" s="205"/>
      <c r="L8" s="184" t="s">
        <v>148</v>
      </c>
      <c r="M8" s="213"/>
      <c r="N8" s="157" t="s">
        <v>159</v>
      </c>
    </row>
    <row r="9" spans="2:17" ht="18" customHeight="1" x14ac:dyDescent="0.2">
      <c r="B9" s="218"/>
      <c r="C9" s="82" t="s">
        <v>97</v>
      </c>
      <c r="D9" s="214"/>
      <c r="E9" s="214"/>
      <c r="F9" s="215"/>
      <c r="G9" s="214"/>
      <c r="H9" s="215"/>
      <c r="I9" s="214"/>
      <c r="J9" s="216" t="s">
        <v>149</v>
      </c>
      <c r="K9" s="215"/>
      <c r="L9" s="215"/>
      <c r="M9" s="216"/>
      <c r="N9" s="157"/>
    </row>
    <row r="10" spans="2:17" ht="19.5" customHeight="1" x14ac:dyDescent="0.2">
      <c r="B10" s="218"/>
      <c r="C10" s="82" t="s">
        <v>98</v>
      </c>
      <c r="D10" s="205" t="s">
        <v>172</v>
      </c>
      <c r="E10" s="205"/>
      <c r="F10" s="206" t="s">
        <v>188</v>
      </c>
      <c r="G10" s="183"/>
      <c r="H10" s="206" t="s">
        <v>133</v>
      </c>
      <c r="I10" s="183"/>
      <c r="J10" s="184"/>
      <c r="K10" s="213"/>
      <c r="L10" s="206"/>
      <c r="M10" s="195"/>
      <c r="N10" s="113" t="s">
        <v>79</v>
      </c>
      <c r="O10" s="98"/>
    </row>
    <row r="11" spans="2:17" ht="21" customHeight="1" x14ac:dyDescent="0.2">
      <c r="B11" s="218"/>
      <c r="C11" s="82" t="s">
        <v>100</v>
      </c>
      <c r="D11" s="183"/>
      <c r="E11" s="183"/>
      <c r="F11" s="183"/>
      <c r="G11" s="183"/>
      <c r="H11" s="183"/>
      <c r="I11" s="183"/>
      <c r="J11" s="183"/>
      <c r="K11" s="183"/>
      <c r="L11" s="173" t="s">
        <v>154</v>
      </c>
      <c r="M11" s="212"/>
      <c r="N11" s="113"/>
    </row>
    <row r="12" spans="2:17" ht="25.5" customHeight="1" thickBot="1" x14ac:dyDescent="0.25">
      <c r="B12" s="219"/>
      <c r="C12" s="84" t="s">
        <v>91</v>
      </c>
      <c r="D12" s="173" t="s">
        <v>101</v>
      </c>
      <c r="E12" s="173"/>
      <c r="F12" s="173" t="s">
        <v>102</v>
      </c>
      <c r="G12" s="173"/>
      <c r="H12" s="173" t="s">
        <v>250</v>
      </c>
      <c r="I12" s="173"/>
      <c r="J12" s="173" t="s">
        <v>25</v>
      </c>
      <c r="K12" s="212"/>
      <c r="L12" s="198" t="s">
        <v>101</v>
      </c>
      <c r="M12" s="198"/>
      <c r="N12" s="114" t="s">
        <v>81</v>
      </c>
    </row>
    <row r="13" spans="2:17" ht="21" customHeight="1" thickBot="1" x14ac:dyDescent="0.25">
      <c r="B13" s="139"/>
      <c r="C13" s="100" t="s">
        <v>105</v>
      </c>
      <c r="D13" s="208" t="s">
        <v>248</v>
      </c>
      <c r="E13" s="209"/>
      <c r="F13" s="232" t="s">
        <v>264</v>
      </c>
      <c r="G13" s="233"/>
      <c r="H13" s="232" t="s">
        <v>267</v>
      </c>
      <c r="I13" s="233"/>
      <c r="J13" s="232" t="s">
        <v>265</v>
      </c>
      <c r="K13" s="233"/>
      <c r="L13" s="208" t="s">
        <v>136</v>
      </c>
      <c r="M13" s="209"/>
      <c r="N13" s="136" t="s">
        <v>135</v>
      </c>
    </row>
    <row r="14" spans="2:17" ht="17.25" customHeight="1" thickBot="1" x14ac:dyDescent="0.25">
      <c r="B14" s="79" t="s">
        <v>51</v>
      </c>
      <c r="C14" s="80" t="s">
        <v>84</v>
      </c>
      <c r="D14" s="210" t="s">
        <v>168</v>
      </c>
      <c r="E14" s="210"/>
      <c r="F14" s="210" t="s">
        <v>169</v>
      </c>
      <c r="G14" s="210"/>
      <c r="H14" s="210" t="s">
        <v>170</v>
      </c>
      <c r="I14" s="210"/>
      <c r="J14" s="210" t="s">
        <v>171</v>
      </c>
      <c r="K14" s="210"/>
      <c r="L14" s="210" t="s">
        <v>203</v>
      </c>
      <c r="M14" s="211"/>
      <c r="N14" s="118" t="s">
        <v>204</v>
      </c>
    </row>
    <row r="15" spans="2:17" ht="24.75" customHeight="1" x14ac:dyDescent="0.2">
      <c r="B15" s="199" t="s">
        <v>50</v>
      </c>
      <c r="C15" s="101" t="s">
        <v>85</v>
      </c>
      <c r="D15" s="201" t="s">
        <v>167</v>
      </c>
      <c r="E15" s="202"/>
      <c r="F15" s="201" t="s">
        <v>252</v>
      </c>
      <c r="G15" s="202"/>
      <c r="H15" s="188" t="s">
        <v>153</v>
      </c>
      <c r="I15" s="189"/>
      <c r="J15" s="188" t="s">
        <v>88</v>
      </c>
      <c r="K15" s="189"/>
      <c r="L15" s="188" t="s">
        <v>205</v>
      </c>
      <c r="M15" s="189"/>
      <c r="N15" s="158" t="s">
        <v>255</v>
      </c>
    </row>
    <row r="16" spans="2:17" ht="29.25" customHeight="1" x14ac:dyDescent="0.2">
      <c r="B16" s="199"/>
      <c r="C16" s="82"/>
      <c r="D16" s="190" t="s">
        <v>89</v>
      </c>
      <c r="E16" s="191"/>
      <c r="F16" s="190" t="s">
        <v>253</v>
      </c>
      <c r="G16" s="191"/>
      <c r="H16" s="192" t="s">
        <v>241</v>
      </c>
      <c r="I16" s="193"/>
      <c r="J16" s="190" t="s">
        <v>90</v>
      </c>
      <c r="K16" s="191"/>
      <c r="L16" s="190" t="s">
        <v>89</v>
      </c>
      <c r="M16" s="191"/>
      <c r="N16" s="113" t="s">
        <v>237</v>
      </c>
      <c r="Q16" s="76" t="s">
        <v>24</v>
      </c>
    </row>
    <row r="17" spans="2:16" ht="25.5" customHeight="1" thickBot="1" x14ac:dyDescent="0.25">
      <c r="B17" s="200"/>
      <c r="C17" s="83" t="s">
        <v>91</v>
      </c>
      <c r="D17" s="196" t="s">
        <v>53</v>
      </c>
      <c r="E17" s="197"/>
      <c r="F17" s="196" t="s">
        <v>25</v>
      </c>
      <c r="G17" s="197"/>
      <c r="H17" s="198" t="s">
        <v>74</v>
      </c>
      <c r="I17" s="198"/>
      <c r="J17" s="198" t="s">
        <v>178</v>
      </c>
      <c r="K17" s="198"/>
      <c r="L17" s="196" t="s">
        <v>53</v>
      </c>
      <c r="M17" s="197"/>
      <c r="N17" s="159" t="s">
        <v>81</v>
      </c>
    </row>
    <row r="18" spans="2:16" ht="27" customHeight="1" x14ac:dyDescent="0.2">
      <c r="B18" s="203" t="s">
        <v>49</v>
      </c>
      <c r="C18" s="81" t="s">
        <v>92</v>
      </c>
      <c r="D18" s="204" t="s">
        <v>247</v>
      </c>
      <c r="E18" s="204"/>
      <c r="F18" s="194" t="s">
        <v>224</v>
      </c>
      <c r="G18" s="194"/>
      <c r="H18" s="204" t="s">
        <v>132</v>
      </c>
      <c r="I18" s="204"/>
      <c r="J18" s="204" t="s">
        <v>142</v>
      </c>
      <c r="K18" s="204"/>
      <c r="L18" s="194" t="s">
        <v>234</v>
      </c>
      <c r="M18" s="194"/>
      <c r="N18" s="160" t="s">
        <v>247</v>
      </c>
    </row>
    <row r="19" spans="2:16" ht="25.5" customHeight="1" x14ac:dyDescent="0.2">
      <c r="B19" s="199"/>
      <c r="C19" s="82" t="s">
        <v>93</v>
      </c>
      <c r="D19" s="182" t="s">
        <v>206</v>
      </c>
      <c r="E19" s="182"/>
      <c r="F19" s="182" t="s">
        <v>217</v>
      </c>
      <c r="G19" s="182"/>
      <c r="H19" s="183" t="s">
        <v>177</v>
      </c>
      <c r="I19" s="195"/>
      <c r="J19" s="183" t="s">
        <v>94</v>
      </c>
      <c r="K19" s="183"/>
      <c r="L19" s="183" t="s">
        <v>207</v>
      </c>
      <c r="M19" s="195"/>
      <c r="N19" s="119" t="s">
        <v>103</v>
      </c>
    </row>
    <row r="20" spans="2:16" ht="21.75" customHeight="1" x14ac:dyDescent="0.2">
      <c r="B20" s="199"/>
      <c r="C20" s="82" t="s">
        <v>95</v>
      </c>
      <c r="D20" s="183" t="s">
        <v>96</v>
      </c>
      <c r="E20" s="205"/>
      <c r="F20" s="183"/>
      <c r="G20" s="205"/>
      <c r="H20" s="183" t="s">
        <v>208</v>
      </c>
      <c r="I20" s="183"/>
      <c r="J20" s="183" t="s">
        <v>148</v>
      </c>
      <c r="K20" s="183"/>
      <c r="L20" s="180" t="s">
        <v>209</v>
      </c>
      <c r="M20" s="181"/>
      <c r="N20" s="119" t="s">
        <v>34</v>
      </c>
    </row>
    <row r="21" spans="2:16" ht="26.25" customHeight="1" x14ac:dyDescent="0.2">
      <c r="B21" s="199"/>
      <c r="C21" s="82" t="s">
        <v>98</v>
      </c>
      <c r="D21" s="170" t="s">
        <v>172</v>
      </c>
      <c r="E21" s="170"/>
      <c r="F21" s="170" t="s">
        <v>99</v>
      </c>
      <c r="G21" s="170"/>
      <c r="H21" s="182"/>
      <c r="I21" s="182"/>
      <c r="J21" s="182" t="s">
        <v>179</v>
      </c>
      <c r="K21" s="182"/>
      <c r="L21" s="183" t="s">
        <v>210</v>
      </c>
      <c r="M21" s="184"/>
      <c r="N21" s="161"/>
      <c r="P21" s="76" t="s">
        <v>24</v>
      </c>
    </row>
    <row r="22" spans="2:16" ht="21.75" customHeight="1" x14ac:dyDescent="0.2">
      <c r="B22" s="199"/>
      <c r="C22" s="82" t="s">
        <v>97</v>
      </c>
      <c r="D22" s="181"/>
      <c r="E22" s="180"/>
      <c r="F22" s="185"/>
      <c r="G22" s="186"/>
      <c r="H22" s="181"/>
      <c r="I22" s="180"/>
      <c r="J22" s="181"/>
      <c r="K22" s="180"/>
      <c r="L22" s="181"/>
      <c r="M22" s="187"/>
      <c r="N22" s="162" t="s">
        <v>211</v>
      </c>
    </row>
    <row r="23" spans="2:16" ht="24.75" customHeight="1" x14ac:dyDescent="0.2">
      <c r="B23" s="199"/>
      <c r="C23" s="82" t="s">
        <v>100</v>
      </c>
      <c r="D23" s="170"/>
      <c r="E23" s="170"/>
      <c r="F23" s="182"/>
      <c r="G23" s="182"/>
      <c r="H23" s="195" t="s">
        <v>254</v>
      </c>
      <c r="I23" s="206"/>
      <c r="J23" s="207"/>
      <c r="K23" s="207"/>
      <c r="L23" s="170"/>
      <c r="M23" s="171"/>
      <c r="N23" s="161"/>
    </row>
    <row r="24" spans="2:16" ht="18" customHeight="1" thickBot="1" x14ac:dyDescent="0.25">
      <c r="B24" s="199"/>
      <c r="C24" s="84" t="s">
        <v>91</v>
      </c>
      <c r="D24" s="172" t="s">
        <v>104</v>
      </c>
      <c r="E24" s="172"/>
      <c r="F24" s="172" t="s">
        <v>101</v>
      </c>
      <c r="G24" s="172"/>
      <c r="H24" s="172" t="s">
        <v>25</v>
      </c>
      <c r="I24" s="172"/>
      <c r="J24" s="173" t="s">
        <v>134</v>
      </c>
      <c r="K24" s="173"/>
      <c r="L24" s="172" t="s">
        <v>212</v>
      </c>
      <c r="M24" s="174"/>
      <c r="N24" s="163" t="s">
        <v>101</v>
      </c>
    </row>
    <row r="25" spans="2:16" s="109" customFormat="1" ht="19.5" customHeight="1" thickBot="1" x14ac:dyDescent="0.3">
      <c r="B25" s="103"/>
      <c r="C25" s="102" t="s">
        <v>105</v>
      </c>
      <c r="D25" s="225" t="s">
        <v>136</v>
      </c>
      <c r="E25" s="226"/>
      <c r="F25" s="225" t="s">
        <v>266</v>
      </c>
      <c r="G25" s="226"/>
      <c r="H25" s="227" t="s">
        <v>135</v>
      </c>
      <c r="I25" s="228"/>
      <c r="J25" s="229" t="s">
        <v>266</v>
      </c>
      <c r="K25" s="230"/>
      <c r="L25" s="228" t="s">
        <v>135</v>
      </c>
      <c r="M25" s="231"/>
      <c r="N25" s="164" t="s">
        <v>136</v>
      </c>
    </row>
    <row r="26" spans="2:16" x14ac:dyDescent="0.2">
      <c r="C26" s="112"/>
      <c r="H26" s="112"/>
      <c r="I26" s="121"/>
    </row>
    <row r="27" spans="2:16" x14ac:dyDescent="0.2">
      <c r="C27" s="111"/>
      <c r="H27" s="112"/>
      <c r="I27" s="121"/>
    </row>
    <row r="28" spans="2:16" x14ac:dyDescent="0.2">
      <c r="C28" s="111"/>
      <c r="H28" s="112"/>
      <c r="I28" s="121"/>
    </row>
    <row r="29" spans="2:16" x14ac:dyDescent="0.2">
      <c r="C29" s="111"/>
      <c r="H29" s="121"/>
      <c r="I29" s="121"/>
    </row>
  </sheetData>
  <mergeCells count="124">
    <mergeCell ref="D2:E2"/>
    <mergeCell ref="F2:G2"/>
    <mergeCell ref="H2:I2"/>
    <mergeCell ref="J2:K2"/>
    <mergeCell ref="L2:M2"/>
    <mergeCell ref="B3:B5"/>
    <mergeCell ref="D3:E3"/>
    <mergeCell ref="F3:G3"/>
    <mergeCell ref="H3:I3"/>
    <mergeCell ref="J3:K3"/>
    <mergeCell ref="B6:B12"/>
    <mergeCell ref="D6:E6"/>
    <mergeCell ref="F6:G6"/>
    <mergeCell ref="H6:I6"/>
    <mergeCell ref="J6:K6"/>
    <mergeCell ref="L3:M3"/>
    <mergeCell ref="D4:E4"/>
    <mergeCell ref="F4:G4"/>
    <mergeCell ref="H4:I4"/>
    <mergeCell ref="J4:K4"/>
    <mergeCell ref="L4:M4"/>
    <mergeCell ref="L6:M6"/>
    <mergeCell ref="D7:E7"/>
    <mergeCell ref="F7:G7"/>
    <mergeCell ref="H7:I7"/>
    <mergeCell ref="J7:K7"/>
    <mergeCell ref="L7:M7"/>
    <mergeCell ref="D5:E5"/>
    <mergeCell ref="F5:G5"/>
    <mergeCell ref="H5:I5"/>
    <mergeCell ref="J5:K5"/>
    <mergeCell ref="L5:M5"/>
    <mergeCell ref="D8:E8"/>
    <mergeCell ref="F8:G8"/>
    <mergeCell ref="H8:I8"/>
    <mergeCell ref="J8:K8"/>
    <mergeCell ref="L8:M8"/>
    <mergeCell ref="D9:E9"/>
    <mergeCell ref="F9:G9"/>
    <mergeCell ref="H9:I9"/>
    <mergeCell ref="J9:K9"/>
    <mergeCell ref="L9:M9"/>
    <mergeCell ref="D10:E10"/>
    <mergeCell ref="F10:G10"/>
    <mergeCell ref="H10:I10"/>
    <mergeCell ref="J10:K10"/>
    <mergeCell ref="L10:M10"/>
    <mergeCell ref="D11:E11"/>
    <mergeCell ref="F11:G11"/>
    <mergeCell ref="H11:I11"/>
    <mergeCell ref="J11:K11"/>
    <mergeCell ref="L11:M11"/>
    <mergeCell ref="D12:E12"/>
    <mergeCell ref="F12:G12"/>
    <mergeCell ref="H12:I12"/>
    <mergeCell ref="J12:K12"/>
    <mergeCell ref="L12:M12"/>
    <mergeCell ref="D13:E13"/>
    <mergeCell ref="F13:G13"/>
    <mergeCell ref="H13:I13"/>
    <mergeCell ref="J13:K13"/>
    <mergeCell ref="L13:M13"/>
    <mergeCell ref="D14:E14"/>
    <mergeCell ref="F14:G14"/>
    <mergeCell ref="H14:I14"/>
    <mergeCell ref="J14:K14"/>
    <mergeCell ref="L14:M14"/>
    <mergeCell ref="B15:B17"/>
    <mergeCell ref="D15:E15"/>
    <mergeCell ref="F15:G15"/>
    <mergeCell ref="H15:I15"/>
    <mergeCell ref="J15:K15"/>
    <mergeCell ref="B18:B24"/>
    <mergeCell ref="D18:E18"/>
    <mergeCell ref="F18:G18"/>
    <mergeCell ref="H18:I18"/>
    <mergeCell ref="J18:K18"/>
    <mergeCell ref="D20:E20"/>
    <mergeCell ref="F20:G20"/>
    <mergeCell ref="H20:I20"/>
    <mergeCell ref="J20:K20"/>
    <mergeCell ref="D23:E23"/>
    <mergeCell ref="F23:G23"/>
    <mergeCell ref="H23:I23"/>
    <mergeCell ref="J23:K23"/>
    <mergeCell ref="L15:M15"/>
    <mergeCell ref="D16:E16"/>
    <mergeCell ref="F16:G16"/>
    <mergeCell ref="H16:I16"/>
    <mergeCell ref="J16:K16"/>
    <mergeCell ref="L16:M16"/>
    <mergeCell ref="L18:M18"/>
    <mergeCell ref="D19:E19"/>
    <mergeCell ref="F19:G19"/>
    <mergeCell ref="H19:I19"/>
    <mergeCell ref="J19:K19"/>
    <mergeCell ref="L19:M19"/>
    <mergeCell ref="D17:E17"/>
    <mergeCell ref="F17:G17"/>
    <mergeCell ref="H17:I17"/>
    <mergeCell ref="J17:K17"/>
    <mergeCell ref="L17:M17"/>
    <mergeCell ref="L20:M20"/>
    <mergeCell ref="D21:E21"/>
    <mergeCell ref="F21:G21"/>
    <mergeCell ref="H21:I21"/>
    <mergeCell ref="J21:K21"/>
    <mergeCell ref="L21:M21"/>
    <mergeCell ref="D22:E22"/>
    <mergeCell ref="F22:G22"/>
    <mergeCell ref="H22:I22"/>
    <mergeCell ref="J22:K22"/>
    <mergeCell ref="L22:M22"/>
    <mergeCell ref="L23:M23"/>
    <mergeCell ref="D24:E24"/>
    <mergeCell ref="F24:G24"/>
    <mergeCell ref="H24:I24"/>
    <mergeCell ref="J24:K24"/>
    <mergeCell ref="L24:M24"/>
    <mergeCell ref="D25:E25"/>
    <mergeCell ref="F25:G25"/>
    <mergeCell ref="H25:I25"/>
    <mergeCell ref="J25:K25"/>
    <mergeCell ref="L25:M25"/>
  </mergeCells>
  <hyperlinks>
    <hyperlink ref="D2:E2" location="'день 1 '!A1" display="1 день"/>
    <hyperlink ref="F2:M2" location="'день 1 '!A1" display="1 день"/>
    <hyperlink ref="D14:E14" location="'день 1 '!A1" display="1 день"/>
  </hyperlinks>
  <pageMargins left="0.25" right="0.25" top="0.75" bottom="0.75" header="0.3" footer="0.3"/>
  <pageSetup paperSize="9" scale="80" orientation="landscape" horizontalDpi="4294967295" verticalDpi="4294967295" r:id="rId1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Z73"/>
  <sheetViews>
    <sheetView topLeftCell="A25" zoomScale="90" zoomScaleNormal="90" zoomScalePageLayoutView="90" workbookViewId="0">
      <selection activeCell="P76" sqref="P76"/>
    </sheetView>
  </sheetViews>
  <sheetFormatPr defaultRowHeight="15" x14ac:dyDescent="0.25"/>
  <cols>
    <col min="1" max="1" width="3.42578125" style="13" customWidth="1"/>
    <col min="2" max="2" width="3.7109375" style="13" customWidth="1"/>
    <col min="3" max="3" width="10.5703125" style="12" customWidth="1"/>
    <col min="4" max="4" width="39.5703125" style="12" customWidth="1"/>
    <col min="5" max="6" width="8.7109375" style="12" customWidth="1"/>
    <col min="7" max="7" width="8" style="12" customWidth="1"/>
    <col min="8" max="8" width="6.7109375" style="12" customWidth="1"/>
    <col min="9" max="9" width="8.140625" style="12" customWidth="1"/>
    <col min="10" max="10" width="6.5703125" style="12" customWidth="1"/>
    <col min="11" max="11" width="7.5703125" style="12" customWidth="1"/>
    <col min="12" max="12" width="7.42578125" style="12" customWidth="1"/>
    <col min="13" max="13" width="8.5703125" style="12" customWidth="1"/>
    <col min="14" max="15" width="9" style="12" customWidth="1"/>
    <col min="16" max="16" width="7.28515625" style="12" customWidth="1"/>
    <col min="17" max="20" width="9.140625" style="12"/>
    <col min="21" max="21" width="7.28515625" style="12" customWidth="1"/>
    <col min="22" max="22" width="7.7109375" style="12" customWidth="1"/>
    <col min="23" max="23" width="9.140625" style="12"/>
    <col min="24" max="24" width="7.7109375" style="12" customWidth="1"/>
    <col min="25" max="16384" width="9.140625" style="12"/>
  </cols>
  <sheetData>
    <row r="1" spans="2:26" s="13" customFormat="1" ht="19.5" x14ac:dyDescent="0.3">
      <c r="C1" s="257" t="s">
        <v>39</v>
      </c>
      <c r="D1" s="257"/>
      <c r="E1" s="257"/>
      <c r="F1" s="257"/>
      <c r="G1" s="257"/>
      <c r="H1" s="46"/>
      <c r="I1" s="47"/>
      <c r="J1" s="47" t="s">
        <v>40</v>
      </c>
      <c r="K1" s="47"/>
      <c r="L1" s="47"/>
      <c r="M1" s="47"/>
    </row>
    <row r="2" spans="2:26" s="13" customFormat="1" ht="17.25" x14ac:dyDescent="0.3">
      <c r="C2" s="44" t="s">
        <v>41</v>
      </c>
      <c r="D2" s="44"/>
      <c r="E2" s="44"/>
      <c r="F2" s="45"/>
      <c r="G2" s="44"/>
      <c r="H2" s="44"/>
      <c r="I2" s="44"/>
      <c r="J2" s="44" t="s">
        <v>120</v>
      </c>
      <c r="K2" s="44"/>
      <c r="L2" s="44"/>
      <c r="M2" s="44"/>
      <c r="N2" s="44"/>
    </row>
    <row r="3" spans="2:26" s="13" customFormat="1" ht="17.25" x14ac:dyDescent="0.3">
      <c r="C3" s="258" t="s">
        <v>42</v>
      </c>
      <c r="D3" s="258"/>
      <c r="E3" s="258"/>
      <c r="F3" s="258"/>
      <c r="G3" s="44"/>
      <c r="H3" s="44"/>
      <c r="I3" s="44"/>
      <c r="J3" s="44" t="s">
        <v>121</v>
      </c>
      <c r="K3" s="44"/>
      <c r="L3" s="44"/>
      <c r="M3" s="44"/>
      <c r="N3" s="44"/>
    </row>
    <row r="4" spans="2:26" s="15" customFormat="1" ht="17.25" x14ac:dyDescent="0.3"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2:26" s="15" customFormat="1" ht="17.25" x14ac:dyDescent="0.3"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2:26" s="13" customFormat="1" x14ac:dyDescent="0.25"/>
    <row r="7" spans="2:26" s="13" customFormat="1" ht="20.25" customHeight="1" x14ac:dyDescent="0.25">
      <c r="B7" s="58"/>
      <c r="C7" s="58"/>
      <c r="D7" s="259" t="s">
        <v>106</v>
      </c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86"/>
      <c r="P7" s="86"/>
      <c r="Q7" s="54"/>
      <c r="R7" s="54"/>
    </row>
    <row r="8" spans="2:26" s="13" customFormat="1" ht="16.5" customHeight="1" x14ac:dyDescent="0.25">
      <c r="B8" s="56"/>
      <c r="C8" s="56"/>
      <c r="D8" s="259" t="s">
        <v>107</v>
      </c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86"/>
      <c r="P8" s="86"/>
      <c r="Q8" s="53"/>
      <c r="R8" s="53"/>
    </row>
    <row r="9" spans="2:26" s="13" customFormat="1" ht="15.75" x14ac:dyDescent="0.25">
      <c r="D9" s="260" t="s">
        <v>122</v>
      </c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87"/>
      <c r="P9" s="85"/>
    </row>
    <row r="10" spans="2:26" ht="15.75" x14ac:dyDescent="0.25">
      <c r="C10" s="13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1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2:26" ht="15" customHeight="1" thickBot="1" x14ac:dyDescent="0.3"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2"/>
      <c r="P11" s="2"/>
      <c r="Q11" s="1"/>
      <c r="R11" s="1"/>
      <c r="S11" s="1"/>
      <c r="T11" s="1"/>
      <c r="U11" s="2"/>
      <c r="V11" s="2"/>
      <c r="W11" s="1"/>
      <c r="X11" s="1"/>
      <c r="Y11" s="1"/>
      <c r="Z11" s="1"/>
    </row>
    <row r="12" spans="2:26" ht="15" customHeight="1" x14ac:dyDescent="0.25">
      <c r="B12" s="264" t="s">
        <v>199</v>
      </c>
      <c r="C12" s="241" t="s">
        <v>0</v>
      </c>
      <c r="D12" s="244" t="s">
        <v>1</v>
      </c>
      <c r="E12" s="247" t="s">
        <v>6</v>
      </c>
      <c r="F12" s="248"/>
      <c r="G12" s="251" t="s">
        <v>7</v>
      </c>
      <c r="H12" s="251"/>
      <c r="I12" s="251"/>
      <c r="J12" s="251"/>
      <c r="K12" s="251"/>
      <c r="L12" s="251"/>
      <c r="M12" s="252" t="s">
        <v>5</v>
      </c>
      <c r="N12" s="253"/>
      <c r="O12" s="1"/>
      <c r="P12" s="3"/>
      <c r="Q12" s="5"/>
      <c r="R12" s="5"/>
      <c r="S12" s="5"/>
      <c r="T12" s="5"/>
      <c r="U12" s="1"/>
      <c r="V12" s="3"/>
      <c r="W12" s="5"/>
      <c r="X12" s="5"/>
      <c r="Y12" s="5"/>
      <c r="Z12" s="5"/>
    </row>
    <row r="13" spans="2:26" x14ac:dyDescent="0.25">
      <c r="B13" s="265"/>
      <c r="C13" s="242"/>
      <c r="D13" s="245"/>
      <c r="E13" s="249"/>
      <c r="F13" s="250"/>
      <c r="G13" s="256" t="s">
        <v>3</v>
      </c>
      <c r="H13" s="256"/>
      <c r="I13" s="254" t="s">
        <v>2</v>
      </c>
      <c r="J13" s="254"/>
      <c r="K13" s="256" t="s">
        <v>4</v>
      </c>
      <c r="L13" s="256"/>
      <c r="M13" s="254"/>
      <c r="N13" s="255"/>
      <c r="O13" s="1"/>
      <c r="P13" s="3"/>
      <c r="Q13" s="5"/>
      <c r="R13" s="5"/>
      <c r="S13" s="5"/>
      <c r="T13" s="5"/>
      <c r="U13" s="1"/>
      <c r="V13" s="3"/>
      <c r="W13" s="5"/>
      <c r="X13" s="5"/>
      <c r="Y13" s="5"/>
      <c r="Z13" s="5"/>
    </row>
    <row r="14" spans="2:26" ht="21.75" customHeight="1" thickBot="1" x14ac:dyDescent="0.3">
      <c r="B14" s="266"/>
      <c r="C14" s="243"/>
      <c r="D14" s="246"/>
      <c r="E14" s="104" t="s">
        <v>15</v>
      </c>
      <c r="F14" s="105" t="s">
        <v>43</v>
      </c>
      <c r="G14" s="104" t="s">
        <v>15</v>
      </c>
      <c r="H14" s="105" t="s">
        <v>43</v>
      </c>
      <c r="I14" s="104" t="s">
        <v>15</v>
      </c>
      <c r="J14" s="105" t="s">
        <v>43</v>
      </c>
      <c r="K14" s="104" t="s">
        <v>15</v>
      </c>
      <c r="L14" s="105" t="s">
        <v>43</v>
      </c>
      <c r="M14" s="104" t="s">
        <v>15</v>
      </c>
      <c r="N14" s="106" t="s">
        <v>43</v>
      </c>
      <c r="O14" s="1"/>
      <c r="P14" s="3"/>
      <c r="Q14" s="5"/>
      <c r="R14" s="5"/>
      <c r="S14" s="5"/>
      <c r="T14" s="5"/>
      <c r="U14" s="1"/>
      <c r="V14" s="3"/>
      <c r="W14" s="5"/>
      <c r="X14" s="5"/>
      <c r="Y14" s="5"/>
      <c r="Z14" s="5"/>
    </row>
    <row r="15" spans="2:26" x14ac:dyDescent="0.25">
      <c r="B15" s="267" t="s">
        <v>123</v>
      </c>
      <c r="C15" s="238" t="s">
        <v>8</v>
      </c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40"/>
      <c r="O15" s="1"/>
      <c r="P15" s="3"/>
      <c r="Q15" s="5"/>
      <c r="R15" s="5"/>
      <c r="S15" s="5"/>
      <c r="T15" s="5"/>
      <c r="U15" s="1"/>
      <c r="V15" s="3"/>
      <c r="W15" s="5"/>
      <c r="X15" s="5"/>
      <c r="Y15" s="5"/>
      <c r="Z15" s="5"/>
    </row>
    <row r="16" spans="2:26" x14ac:dyDescent="0.25">
      <c r="B16" s="268"/>
      <c r="C16" s="19" t="s">
        <v>58</v>
      </c>
      <c r="D16" s="8" t="s">
        <v>23</v>
      </c>
      <c r="E16" s="108">
        <v>200</v>
      </c>
      <c r="F16" s="29">
        <v>200</v>
      </c>
      <c r="G16" s="21">
        <f>E16*3.63/100</f>
        <v>7.26</v>
      </c>
      <c r="H16" s="32">
        <f>F16*3.63/100</f>
        <v>7.26</v>
      </c>
      <c r="I16" s="21">
        <f>E16*3.23/100</f>
        <v>6.46</v>
      </c>
      <c r="J16" s="32">
        <f>F16*3.23/100</f>
        <v>6.46</v>
      </c>
      <c r="K16" s="21">
        <f>E16*17.68/100</f>
        <v>35.36</v>
      </c>
      <c r="L16" s="32">
        <f>F16*17.68/100</f>
        <v>35.36</v>
      </c>
      <c r="M16" s="21">
        <f t="shared" ref="M16:N16" si="0">G16*4+I16*9+K16*4</f>
        <v>228.62</v>
      </c>
      <c r="N16" s="34">
        <f t="shared" si="0"/>
        <v>228.62</v>
      </c>
      <c r="O16" s="1"/>
      <c r="P16" s="3"/>
      <c r="Q16" s="5"/>
      <c r="R16" s="5"/>
      <c r="S16" s="5"/>
      <c r="T16" s="5"/>
      <c r="U16" s="1"/>
      <c r="V16" s="3"/>
      <c r="W16" s="5"/>
      <c r="X16" s="5"/>
      <c r="Y16" s="5"/>
      <c r="Z16" s="5"/>
    </row>
    <row r="17" spans="2:26" s="15" customFormat="1" x14ac:dyDescent="0.25">
      <c r="B17" s="268"/>
      <c r="C17" s="89" t="s">
        <v>108</v>
      </c>
      <c r="D17" s="90" t="s">
        <v>109</v>
      </c>
      <c r="E17" s="108">
        <v>15</v>
      </c>
      <c r="F17" s="88">
        <v>15</v>
      </c>
      <c r="G17" s="21">
        <f>E17*23.2/100</f>
        <v>3.48</v>
      </c>
      <c r="H17" s="32">
        <f>F17*23.2/100</f>
        <v>3.48</v>
      </c>
      <c r="I17" s="21">
        <f>E17*29.5/100</f>
        <v>4.4249999999999998</v>
      </c>
      <c r="J17" s="32">
        <f>F17*29.5/100</f>
        <v>4.4249999999999998</v>
      </c>
      <c r="K17" s="21">
        <f>E17*0/100</f>
        <v>0</v>
      </c>
      <c r="L17" s="32">
        <f>F17*0/100</f>
        <v>0</v>
      </c>
      <c r="M17" s="21">
        <f t="shared" ref="M17:N18" si="1">G17*4+I17*9+K17*4</f>
        <v>53.744999999999997</v>
      </c>
      <c r="N17" s="34">
        <f t="shared" si="1"/>
        <v>53.744999999999997</v>
      </c>
      <c r="O17" s="1"/>
      <c r="P17" s="3"/>
      <c r="Q17" s="5"/>
      <c r="R17" s="5"/>
      <c r="S17" s="5"/>
      <c r="T17" s="5"/>
      <c r="U17" s="1"/>
      <c r="V17" s="3"/>
      <c r="W17" s="5"/>
      <c r="X17" s="5"/>
      <c r="Y17" s="5"/>
      <c r="Z17" s="5"/>
    </row>
    <row r="18" spans="2:26" x14ac:dyDescent="0.25">
      <c r="B18" s="268"/>
      <c r="C18" s="19" t="s">
        <v>45</v>
      </c>
      <c r="D18" s="9" t="s">
        <v>16</v>
      </c>
      <c r="E18" s="108">
        <v>200</v>
      </c>
      <c r="F18" s="30">
        <v>200</v>
      </c>
      <c r="G18" s="21">
        <f>E18*0.2/200</f>
        <v>0.2</v>
      </c>
      <c r="H18" s="32">
        <f>F18*0.2/200</f>
        <v>0.2</v>
      </c>
      <c r="I18" s="21">
        <f t="shared" ref="I18" si="2">E18*0.1/200</f>
        <v>0.1</v>
      </c>
      <c r="J18" s="32">
        <f t="shared" ref="J18" si="3">F18*0.1/200</f>
        <v>0.1</v>
      </c>
      <c r="K18" s="21">
        <f>E18*9.3/200</f>
        <v>9.3000000000000007</v>
      </c>
      <c r="L18" s="32">
        <f>F18*9.3/200</f>
        <v>9.3000000000000007</v>
      </c>
      <c r="M18" s="21">
        <f t="shared" si="1"/>
        <v>38.900000000000006</v>
      </c>
      <c r="N18" s="34">
        <f t="shared" si="1"/>
        <v>38.900000000000006</v>
      </c>
      <c r="O18" s="1"/>
      <c r="P18" s="3"/>
      <c r="Q18" s="5"/>
      <c r="R18" s="5"/>
      <c r="S18" s="5"/>
      <c r="T18" s="5"/>
      <c r="U18" s="1"/>
      <c r="V18" s="3"/>
      <c r="W18" s="5"/>
      <c r="X18" s="5"/>
      <c r="Y18" s="5"/>
      <c r="Z18" s="5"/>
    </row>
    <row r="19" spans="2:26" x14ac:dyDescent="0.25">
      <c r="B19" s="268"/>
      <c r="C19" s="20" t="s">
        <v>126</v>
      </c>
      <c r="D19" s="95" t="s">
        <v>127</v>
      </c>
      <c r="E19" s="60">
        <v>30</v>
      </c>
      <c r="F19" s="61">
        <v>30</v>
      </c>
      <c r="G19" s="96">
        <f>E19*7.5/100</f>
        <v>2.25</v>
      </c>
      <c r="H19" s="43">
        <f>F19*7.5/100</f>
        <v>2.25</v>
      </c>
      <c r="I19" s="97">
        <f>E19*2.9/100</f>
        <v>0.87</v>
      </c>
      <c r="J19" s="32">
        <f>F19*2.9/100</f>
        <v>0.87</v>
      </c>
      <c r="K19" s="97">
        <f>E19*51.4/100</f>
        <v>15.42</v>
      </c>
      <c r="L19" s="32">
        <f>F19*51.4/100</f>
        <v>15.42</v>
      </c>
      <c r="M19" s="97">
        <f t="shared" ref="M19:N20" si="4">G19*4+I19*9+K19*4</f>
        <v>78.509999999999991</v>
      </c>
      <c r="N19" s="34">
        <f t="shared" si="4"/>
        <v>78.509999999999991</v>
      </c>
      <c r="O19" s="1"/>
      <c r="P19" s="3"/>
      <c r="Q19" s="5"/>
      <c r="R19" s="5"/>
      <c r="S19" s="5"/>
      <c r="T19" s="5"/>
      <c r="U19" s="1"/>
      <c r="V19" s="3"/>
      <c r="W19" s="5"/>
      <c r="X19" s="5"/>
      <c r="Y19" s="5"/>
      <c r="Z19" s="5"/>
    </row>
    <row r="20" spans="2:26" s="15" customFormat="1" x14ac:dyDescent="0.25">
      <c r="B20" s="268"/>
      <c r="C20" s="20" t="s">
        <v>72</v>
      </c>
      <c r="D20" s="6" t="s">
        <v>73</v>
      </c>
      <c r="E20" s="60">
        <v>30</v>
      </c>
      <c r="F20" s="61">
        <v>30</v>
      </c>
      <c r="G20" s="21">
        <f>E20*7.6/100</f>
        <v>2.2799999999999998</v>
      </c>
      <c r="H20" s="32">
        <f>F20*7.6/100</f>
        <v>2.2799999999999998</v>
      </c>
      <c r="I20" s="21">
        <f>E20*0.8/100</f>
        <v>0.24</v>
      </c>
      <c r="J20" s="32">
        <f>F20*0.8/100</f>
        <v>0.24</v>
      </c>
      <c r="K20" s="21">
        <f>E20*49.2/100</f>
        <v>14.76</v>
      </c>
      <c r="L20" s="32">
        <f>F20*49.2/100</f>
        <v>14.76</v>
      </c>
      <c r="M20" s="21">
        <f t="shared" si="4"/>
        <v>70.319999999999993</v>
      </c>
      <c r="N20" s="34">
        <f t="shared" si="4"/>
        <v>70.319999999999993</v>
      </c>
      <c r="O20" s="1"/>
      <c r="P20" s="3"/>
      <c r="Q20" s="5"/>
      <c r="R20" s="5"/>
      <c r="S20" s="5"/>
      <c r="T20" s="5"/>
      <c r="U20" s="1"/>
      <c r="V20" s="3"/>
      <c r="W20" s="5"/>
      <c r="X20" s="5"/>
      <c r="Y20" s="5"/>
      <c r="Z20" s="5"/>
    </row>
    <row r="21" spans="2:26" x14ac:dyDescent="0.25">
      <c r="B21" s="268"/>
      <c r="C21" s="25"/>
      <c r="D21" s="4" t="s">
        <v>13</v>
      </c>
      <c r="E21" s="23">
        <f t="shared" ref="E21:L21" si="5">SUM(E16:E20)</f>
        <v>475</v>
      </c>
      <c r="F21" s="31">
        <f t="shared" si="5"/>
        <v>475</v>
      </c>
      <c r="G21" s="7">
        <f t="shared" si="5"/>
        <v>15.469999999999999</v>
      </c>
      <c r="H21" s="33">
        <f t="shared" si="5"/>
        <v>15.469999999999999</v>
      </c>
      <c r="I21" s="7">
        <f t="shared" si="5"/>
        <v>12.094999999999999</v>
      </c>
      <c r="J21" s="33">
        <f t="shared" si="5"/>
        <v>12.094999999999999</v>
      </c>
      <c r="K21" s="7">
        <f t="shared" si="5"/>
        <v>74.84</v>
      </c>
      <c r="L21" s="33">
        <f t="shared" si="5"/>
        <v>74.84</v>
      </c>
      <c r="M21" s="7">
        <f>G21*4+I21*9+K21*4</f>
        <v>470.09500000000003</v>
      </c>
      <c r="N21" s="35">
        <f>H21*4+J21*9+L21*4</f>
        <v>470.09500000000003</v>
      </c>
      <c r="O21" s="1"/>
      <c r="P21" s="3"/>
      <c r="Q21" s="5"/>
      <c r="R21" s="5"/>
      <c r="S21" s="5"/>
      <c r="T21" s="5"/>
      <c r="U21" s="1"/>
      <c r="V21" s="3"/>
      <c r="W21" s="5"/>
      <c r="X21" s="5"/>
      <c r="Y21" s="5"/>
      <c r="Z21" s="5"/>
    </row>
    <row r="22" spans="2:26" x14ac:dyDescent="0.25">
      <c r="B22" s="268"/>
      <c r="C22" s="235" t="s">
        <v>9</v>
      </c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7"/>
      <c r="O22" s="1"/>
      <c r="P22" s="3"/>
      <c r="Q22" s="5"/>
      <c r="R22" s="5"/>
      <c r="S22" s="5"/>
      <c r="T22" s="5"/>
      <c r="U22" s="1"/>
      <c r="V22" s="3"/>
      <c r="W22" s="5"/>
      <c r="X22" s="5"/>
      <c r="Y22" s="5"/>
      <c r="Z22" s="5"/>
    </row>
    <row r="23" spans="2:26" x14ac:dyDescent="0.25">
      <c r="B23" s="268"/>
      <c r="C23" s="19" t="s">
        <v>82</v>
      </c>
      <c r="D23" s="130" t="s">
        <v>83</v>
      </c>
      <c r="E23" s="138">
        <v>60</v>
      </c>
      <c r="F23" s="42">
        <v>100</v>
      </c>
      <c r="G23" s="22">
        <f>E23*0.7/100</f>
        <v>0.42</v>
      </c>
      <c r="H23" s="43">
        <f>F23*0.7/100</f>
        <v>0.7</v>
      </c>
      <c r="I23" s="22">
        <f>E23*0.1/100</f>
        <v>0.06</v>
      </c>
      <c r="J23" s="43">
        <f>F23*0.1/100</f>
        <v>0.1</v>
      </c>
      <c r="K23" s="22">
        <f>E23*1.9/100</f>
        <v>1.1399999999999999</v>
      </c>
      <c r="L23" s="43">
        <f>F23*1.9/100</f>
        <v>1.9</v>
      </c>
      <c r="M23" s="22">
        <f t="shared" ref="M23:N23" si="6">G23*4+I23*9+K23*4</f>
        <v>6.7799999999999994</v>
      </c>
      <c r="N23" s="40">
        <f t="shared" si="6"/>
        <v>11.299999999999999</v>
      </c>
      <c r="O23" s="1"/>
      <c r="P23" s="3"/>
      <c r="Q23" s="5"/>
      <c r="R23" s="5"/>
      <c r="S23" s="5"/>
      <c r="T23" s="5"/>
      <c r="U23" s="1"/>
      <c r="V23" s="3"/>
      <c r="W23" s="5"/>
      <c r="X23" s="5"/>
      <c r="Y23" s="5"/>
      <c r="Z23" s="5"/>
    </row>
    <row r="24" spans="2:26" s="15" customFormat="1" x14ac:dyDescent="0.25">
      <c r="B24" s="268"/>
      <c r="C24" s="123" t="s">
        <v>213</v>
      </c>
      <c r="D24" s="141" t="s">
        <v>214</v>
      </c>
      <c r="E24" s="122">
        <v>200</v>
      </c>
      <c r="F24" s="42">
        <v>250</v>
      </c>
      <c r="G24" s="22">
        <f>E24*1.82/100</f>
        <v>3.64</v>
      </c>
      <c r="H24" s="43">
        <f>F24*1.82/100</f>
        <v>4.55</v>
      </c>
      <c r="I24" s="22">
        <f>E24*2.99/100</f>
        <v>5.98</v>
      </c>
      <c r="J24" s="43">
        <f>F24*2.99/100</f>
        <v>7.4749999999999996</v>
      </c>
      <c r="K24" s="22">
        <f>E24*3.96/100</f>
        <v>7.92</v>
      </c>
      <c r="L24" s="43">
        <f>F24*3.96/100</f>
        <v>9.9</v>
      </c>
      <c r="M24" s="22">
        <f t="shared" ref="M24:N27" si="7">G24*4+I24*9+K24*4</f>
        <v>100.06</v>
      </c>
      <c r="N24" s="40">
        <f t="shared" si="7"/>
        <v>125.07499999999999</v>
      </c>
      <c r="O24" s="1"/>
      <c r="P24" s="3"/>
      <c r="Q24" s="5"/>
      <c r="R24" s="5"/>
      <c r="S24" s="5"/>
      <c r="T24" s="5"/>
      <c r="U24" s="1"/>
      <c r="V24" s="3"/>
      <c r="W24" s="5"/>
      <c r="X24" s="5"/>
      <c r="Y24" s="5"/>
      <c r="Z24" s="5"/>
    </row>
    <row r="25" spans="2:26" x14ac:dyDescent="0.25">
      <c r="B25" s="268"/>
      <c r="C25" s="20" t="s">
        <v>130</v>
      </c>
      <c r="D25" s="6" t="s">
        <v>131</v>
      </c>
      <c r="E25" s="108">
        <v>150</v>
      </c>
      <c r="F25" s="30">
        <v>180</v>
      </c>
      <c r="G25" s="21">
        <f>E25*1.55/100</f>
        <v>2.3250000000000002</v>
      </c>
      <c r="H25" s="32">
        <f>F25*1.55/100</f>
        <v>2.79</v>
      </c>
      <c r="I25" s="21">
        <f>E25*2.03/100</f>
        <v>3.0449999999999995</v>
      </c>
      <c r="J25" s="32">
        <f>F25*2.03/100</f>
        <v>3.6539999999999999</v>
      </c>
      <c r="K25" s="21">
        <f>E25*16.3/100</f>
        <v>24.45</v>
      </c>
      <c r="L25" s="32">
        <f>F25*16.3/100</f>
        <v>29.34</v>
      </c>
      <c r="M25" s="21">
        <f t="shared" si="7"/>
        <v>134.505</v>
      </c>
      <c r="N25" s="34">
        <f t="shared" si="7"/>
        <v>161.40600000000001</v>
      </c>
      <c r="O25" s="1"/>
      <c r="P25" s="3"/>
      <c r="Q25" s="5"/>
      <c r="R25" s="5" t="s">
        <v>24</v>
      </c>
      <c r="S25" s="5"/>
      <c r="T25" s="5"/>
      <c r="U25" s="1"/>
      <c r="V25" s="3"/>
      <c r="W25" s="5"/>
      <c r="X25" s="5"/>
      <c r="Y25" s="5"/>
      <c r="Z25" s="5"/>
    </row>
    <row r="26" spans="2:26" s="15" customFormat="1" x14ac:dyDescent="0.25">
      <c r="B26" s="268"/>
      <c r="C26" s="19" t="s">
        <v>175</v>
      </c>
      <c r="D26" s="9" t="s">
        <v>176</v>
      </c>
      <c r="E26" s="108">
        <v>100</v>
      </c>
      <c r="F26" s="30">
        <v>100</v>
      </c>
      <c r="G26" s="21">
        <f>E26*13.5/100</f>
        <v>13.5</v>
      </c>
      <c r="H26" s="32">
        <f>F26*13.5/100</f>
        <v>13.5</v>
      </c>
      <c r="I26" s="21">
        <f>E26*21/100</f>
        <v>21</v>
      </c>
      <c r="J26" s="32">
        <f>F26*21/100</f>
        <v>21</v>
      </c>
      <c r="K26" s="21">
        <f>E26*9.9/100</f>
        <v>9.9</v>
      </c>
      <c r="L26" s="32">
        <f>F26*9.9/100</f>
        <v>9.9</v>
      </c>
      <c r="M26" s="21">
        <f t="shared" si="7"/>
        <v>282.60000000000002</v>
      </c>
      <c r="N26" s="34">
        <f t="shared" si="7"/>
        <v>282.60000000000002</v>
      </c>
      <c r="O26" s="1"/>
      <c r="P26" s="3"/>
      <c r="Q26" s="5"/>
      <c r="R26" s="5"/>
      <c r="S26" s="5"/>
      <c r="T26" s="5"/>
      <c r="U26" s="1"/>
      <c r="V26" s="3"/>
      <c r="W26" s="5"/>
      <c r="X26" s="5"/>
      <c r="Y26" s="5"/>
      <c r="Z26" s="5"/>
    </row>
    <row r="27" spans="2:26" s="15" customFormat="1" x14ac:dyDescent="0.25">
      <c r="B27" s="268"/>
      <c r="C27" s="19" t="s">
        <v>60</v>
      </c>
      <c r="D27" s="9" t="s">
        <v>61</v>
      </c>
      <c r="E27" s="108">
        <v>50</v>
      </c>
      <c r="F27" s="30">
        <v>50</v>
      </c>
      <c r="G27" s="21">
        <f>E27*1.3/50</f>
        <v>1.3</v>
      </c>
      <c r="H27" s="32">
        <f>F27*1.3/50</f>
        <v>1.3</v>
      </c>
      <c r="I27" s="21">
        <f>E27*4.8/50</f>
        <v>4.8</v>
      </c>
      <c r="J27" s="32">
        <f>F27*4.8/50</f>
        <v>4.8</v>
      </c>
      <c r="K27" s="21">
        <f>E27*4.7/50</f>
        <v>4.7</v>
      </c>
      <c r="L27" s="32">
        <f>F27*4.7/50</f>
        <v>4.7</v>
      </c>
      <c r="M27" s="21">
        <f t="shared" si="7"/>
        <v>67.2</v>
      </c>
      <c r="N27" s="34">
        <f t="shared" si="7"/>
        <v>67.2</v>
      </c>
      <c r="O27" s="1"/>
      <c r="P27" s="3"/>
      <c r="Q27" s="5"/>
      <c r="R27" s="5"/>
      <c r="S27" s="5"/>
      <c r="T27" s="5"/>
      <c r="U27" s="1"/>
      <c r="V27" s="3"/>
      <c r="W27" s="5"/>
      <c r="X27" s="5"/>
      <c r="Y27" s="5"/>
      <c r="Z27" s="5"/>
    </row>
    <row r="28" spans="2:26" s="15" customFormat="1" x14ac:dyDescent="0.25">
      <c r="B28" s="268"/>
      <c r="C28" s="19" t="s">
        <v>46</v>
      </c>
      <c r="D28" s="9" t="s">
        <v>47</v>
      </c>
      <c r="E28" s="108">
        <v>200</v>
      </c>
      <c r="F28" s="30">
        <v>200</v>
      </c>
      <c r="G28" s="21">
        <f>E28*0.6/200</f>
        <v>0.6</v>
      </c>
      <c r="H28" s="32">
        <f>F28*0.6/200</f>
        <v>0.6</v>
      </c>
      <c r="I28" s="21">
        <f t="shared" ref="I28:J28" si="8">E28*0.1/200</f>
        <v>0.1</v>
      </c>
      <c r="J28" s="32">
        <f t="shared" si="8"/>
        <v>0.1</v>
      </c>
      <c r="K28" s="21">
        <f>E28*20.1/200</f>
        <v>20.100000000000001</v>
      </c>
      <c r="L28" s="32">
        <f>F28*20.1/200</f>
        <v>20.100000000000001</v>
      </c>
      <c r="M28" s="21">
        <f t="shared" ref="M28:N28" si="9">G28*4+I28*9+K28*4</f>
        <v>83.7</v>
      </c>
      <c r="N28" s="34">
        <f t="shared" si="9"/>
        <v>83.7</v>
      </c>
      <c r="O28" s="1"/>
      <c r="P28" s="3"/>
      <c r="Q28" s="5"/>
      <c r="R28" s="5"/>
      <c r="S28" s="5"/>
      <c r="T28" s="5"/>
      <c r="U28" s="1"/>
      <c r="V28" s="3"/>
      <c r="W28" s="5"/>
      <c r="X28" s="5"/>
      <c r="Y28" s="5"/>
      <c r="Z28" s="5"/>
    </row>
    <row r="29" spans="2:26" s="15" customFormat="1" x14ac:dyDescent="0.25">
      <c r="B29" s="268"/>
      <c r="C29" s="20" t="s">
        <v>71</v>
      </c>
      <c r="D29" s="6" t="s">
        <v>22</v>
      </c>
      <c r="E29" s="60">
        <v>30</v>
      </c>
      <c r="F29" s="61">
        <v>30</v>
      </c>
      <c r="G29" s="21">
        <f>E29*8/100</f>
        <v>2.4</v>
      </c>
      <c r="H29" s="32">
        <f>F29*8/100</f>
        <v>2.4</v>
      </c>
      <c r="I29" s="21">
        <f>E29*1.5/100</f>
        <v>0.45</v>
      </c>
      <c r="J29" s="32">
        <f>F29*1.5/100</f>
        <v>0.45</v>
      </c>
      <c r="K29" s="21">
        <f>E29*40.1/100</f>
        <v>12.03</v>
      </c>
      <c r="L29" s="32">
        <f>F29*40.1/100</f>
        <v>12.03</v>
      </c>
      <c r="M29" s="21">
        <f t="shared" ref="M29:M31" si="10">G29*4+I29*9+K29*4</f>
        <v>61.769999999999996</v>
      </c>
      <c r="N29" s="34">
        <f t="shared" ref="N29:N31" si="11">H29*4+J29*9+L29*4</f>
        <v>61.769999999999996</v>
      </c>
      <c r="O29" s="1"/>
      <c r="P29" s="3"/>
      <c r="Q29" s="5"/>
      <c r="R29" s="5"/>
      <c r="S29" s="5"/>
      <c r="T29" s="5"/>
      <c r="U29" s="1"/>
      <c r="V29" s="3"/>
      <c r="W29" s="5"/>
      <c r="X29" s="5"/>
      <c r="Y29" s="5"/>
      <c r="Z29" s="5"/>
    </row>
    <row r="30" spans="2:26" x14ac:dyDescent="0.25">
      <c r="B30" s="268"/>
      <c r="C30" s="20" t="s">
        <v>72</v>
      </c>
      <c r="D30" s="6" t="s">
        <v>73</v>
      </c>
      <c r="E30" s="60">
        <v>50</v>
      </c>
      <c r="F30" s="61">
        <v>50</v>
      </c>
      <c r="G30" s="21">
        <f>E30*7.6/100</f>
        <v>3.8</v>
      </c>
      <c r="H30" s="32">
        <f>F30*7.6/100</f>
        <v>3.8</v>
      </c>
      <c r="I30" s="21">
        <f>E30*0.8/100</f>
        <v>0.4</v>
      </c>
      <c r="J30" s="32">
        <f>F30*0.8/100</f>
        <v>0.4</v>
      </c>
      <c r="K30" s="21">
        <f>E30*49.2/100</f>
        <v>24.6</v>
      </c>
      <c r="L30" s="32">
        <f>F30*49.2/100</f>
        <v>24.6</v>
      </c>
      <c r="M30" s="21">
        <f t="shared" si="10"/>
        <v>117.2</v>
      </c>
      <c r="N30" s="34">
        <f t="shared" si="11"/>
        <v>117.2</v>
      </c>
      <c r="O30" s="1"/>
      <c r="P30" s="3"/>
      <c r="Q30" s="5"/>
      <c r="R30" s="5"/>
      <c r="S30" s="5"/>
      <c r="T30" s="5"/>
      <c r="U30" s="1"/>
      <c r="V30" s="3"/>
      <c r="W30" s="5"/>
      <c r="X30" s="5"/>
      <c r="Y30" s="5"/>
      <c r="Z30" s="5"/>
    </row>
    <row r="31" spans="2:26" s="15" customFormat="1" x14ac:dyDescent="0.25">
      <c r="B31" s="268"/>
      <c r="C31" s="20" t="s">
        <v>113</v>
      </c>
      <c r="D31" s="6" t="s">
        <v>110</v>
      </c>
      <c r="E31" s="108">
        <v>100</v>
      </c>
      <c r="F31" s="30">
        <v>100</v>
      </c>
      <c r="G31" s="21">
        <f>E31*0.4/100</f>
        <v>0.4</v>
      </c>
      <c r="H31" s="32">
        <f>F31*0.4/100</f>
        <v>0.4</v>
      </c>
      <c r="I31" s="21">
        <f>E31*0.4/100</f>
        <v>0.4</v>
      </c>
      <c r="J31" s="32">
        <f>F31*0.4/100</f>
        <v>0.4</v>
      </c>
      <c r="K31" s="21">
        <f>E31*9.8/100</f>
        <v>9.8000000000000007</v>
      </c>
      <c r="L31" s="32">
        <f>F31*9.8/100</f>
        <v>9.8000000000000007</v>
      </c>
      <c r="M31" s="21">
        <f t="shared" si="10"/>
        <v>44.400000000000006</v>
      </c>
      <c r="N31" s="34">
        <f t="shared" si="11"/>
        <v>44.400000000000006</v>
      </c>
      <c r="O31" s="1"/>
      <c r="P31" s="3"/>
      <c r="Q31" s="5"/>
      <c r="R31" s="5"/>
      <c r="S31" s="5"/>
      <c r="T31" s="5"/>
      <c r="U31" s="1"/>
      <c r="V31" s="3"/>
      <c r="W31" s="5"/>
      <c r="X31" s="5"/>
      <c r="Y31" s="5"/>
      <c r="Z31" s="5"/>
    </row>
    <row r="32" spans="2:26" x14ac:dyDescent="0.25">
      <c r="B32" s="268"/>
      <c r="C32" s="20"/>
      <c r="D32" s="4" t="s">
        <v>14</v>
      </c>
      <c r="E32" s="23">
        <f t="shared" ref="E32:N32" si="12">SUM(E23:E31)</f>
        <v>940</v>
      </c>
      <c r="F32" s="37">
        <f t="shared" si="12"/>
        <v>1060</v>
      </c>
      <c r="G32" s="7">
        <f t="shared" si="12"/>
        <v>28.385000000000002</v>
      </c>
      <c r="H32" s="33">
        <f t="shared" si="12"/>
        <v>30.04</v>
      </c>
      <c r="I32" s="7">
        <f t="shared" si="12"/>
        <v>36.234999999999999</v>
      </c>
      <c r="J32" s="33">
        <f t="shared" si="12"/>
        <v>38.378999999999998</v>
      </c>
      <c r="K32" s="7">
        <f t="shared" si="12"/>
        <v>114.64</v>
      </c>
      <c r="L32" s="33">
        <f t="shared" si="12"/>
        <v>122.27</v>
      </c>
      <c r="M32" s="7">
        <f t="shared" si="12"/>
        <v>898.21500000000015</v>
      </c>
      <c r="N32" s="35">
        <f t="shared" si="12"/>
        <v>954.65100000000018</v>
      </c>
      <c r="O32" s="1"/>
      <c r="P32" s="3"/>
      <c r="Q32" s="5"/>
      <c r="R32" s="5"/>
      <c r="S32" s="5"/>
      <c r="T32" s="5"/>
      <c r="U32" s="1"/>
      <c r="V32" s="3"/>
      <c r="W32" s="5"/>
      <c r="X32" s="5"/>
      <c r="Y32" s="5"/>
      <c r="Z32" s="5"/>
    </row>
    <row r="33" spans="2:26" ht="15.75" thickBot="1" x14ac:dyDescent="0.3">
      <c r="B33" s="268"/>
      <c r="C33" s="62"/>
      <c r="D33" s="63" t="s">
        <v>12</v>
      </c>
      <c r="E33" s="67"/>
      <c r="F33" s="68"/>
      <c r="G33" s="64">
        <f t="shared" ref="G33:N33" si="13">G21+G32</f>
        <v>43.855000000000004</v>
      </c>
      <c r="H33" s="65">
        <f t="shared" si="13"/>
        <v>45.51</v>
      </c>
      <c r="I33" s="64">
        <f t="shared" si="13"/>
        <v>48.33</v>
      </c>
      <c r="J33" s="65">
        <f t="shared" si="13"/>
        <v>50.473999999999997</v>
      </c>
      <c r="K33" s="64">
        <f t="shared" si="13"/>
        <v>189.48000000000002</v>
      </c>
      <c r="L33" s="65">
        <f t="shared" si="13"/>
        <v>197.11</v>
      </c>
      <c r="M33" s="64">
        <f t="shared" si="13"/>
        <v>1368.3100000000002</v>
      </c>
      <c r="N33" s="66">
        <f t="shared" si="13"/>
        <v>1424.7460000000001</v>
      </c>
      <c r="O33" s="1"/>
      <c r="P33" s="3"/>
      <c r="Q33" s="5"/>
      <c r="R33" s="5"/>
      <c r="S33" s="5"/>
      <c r="T33" s="5"/>
      <c r="U33" s="1"/>
      <c r="V33" s="3"/>
      <c r="W33" s="5"/>
      <c r="X33" s="5"/>
      <c r="Y33" s="5"/>
      <c r="Z33" s="5"/>
    </row>
    <row r="34" spans="2:26" ht="15" customHeight="1" x14ac:dyDescent="0.25">
      <c r="B34" s="267" t="s">
        <v>124</v>
      </c>
      <c r="C34" s="238" t="s">
        <v>8</v>
      </c>
      <c r="D34" s="239"/>
      <c r="E34" s="239"/>
      <c r="F34" s="239"/>
      <c r="G34" s="239"/>
      <c r="H34" s="239"/>
      <c r="I34" s="239"/>
      <c r="J34" s="239"/>
      <c r="K34" s="239"/>
      <c r="L34" s="239"/>
      <c r="M34" s="239"/>
      <c r="N34" s="240"/>
    </row>
    <row r="35" spans="2:26" x14ac:dyDescent="0.25">
      <c r="B35" s="268"/>
      <c r="C35" s="19" t="s">
        <v>257</v>
      </c>
      <c r="D35" s="8" t="s">
        <v>258</v>
      </c>
      <c r="E35" s="108">
        <v>200</v>
      </c>
      <c r="F35" s="29">
        <v>200</v>
      </c>
      <c r="G35" s="21">
        <f>E35*3.62/100</f>
        <v>7.24</v>
      </c>
      <c r="H35" s="32">
        <f>F35*3.62/100</f>
        <v>7.24</v>
      </c>
      <c r="I35" s="21">
        <f>E35*3.32/100</f>
        <v>6.64</v>
      </c>
      <c r="J35" s="32">
        <f>F35*3.32/100</f>
        <v>6.64</v>
      </c>
      <c r="K35" s="21">
        <f>E35*16.56/100</f>
        <v>33.119999999999997</v>
      </c>
      <c r="L35" s="32">
        <f>F35*16.56/100</f>
        <v>33.119999999999997</v>
      </c>
      <c r="M35" s="21">
        <f t="shared" ref="M35:N35" si="14">G35*4+I35*9+K35*4</f>
        <v>221.2</v>
      </c>
      <c r="N35" s="34">
        <f t="shared" si="14"/>
        <v>221.2</v>
      </c>
      <c r="O35" s="49"/>
    </row>
    <row r="36" spans="2:26" s="15" customFormat="1" x14ac:dyDescent="0.25">
      <c r="B36" s="268"/>
      <c r="C36" s="20" t="s">
        <v>113</v>
      </c>
      <c r="D36" s="90" t="s">
        <v>191</v>
      </c>
      <c r="E36" s="108">
        <v>20</v>
      </c>
      <c r="F36" s="88">
        <v>20</v>
      </c>
      <c r="G36" s="91">
        <f>E36*0/10</f>
        <v>0</v>
      </c>
      <c r="H36" s="110">
        <f>F36*0/10</f>
        <v>0</v>
      </c>
      <c r="I36" s="91">
        <f>E36*0/10</f>
        <v>0</v>
      </c>
      <c r="J36" s="110">
        <f>F36*0/10</f>
        <v>0</v>
      </c>
      <c r="K36" s="21">
        <f>E36*61/100</f>
        <v>12.2</v>
      </c>
      <c r="L36" s="32">
        <f>F36*61/100</f>
        <v>12.2</v>
      </c>
      <c r="M36" s="21">
        <f t="shared" ref="M36:N38" si="15">G36*4+I36*9+K36*4</f>
        <v>48.8</v>
      </c>
      <c r="N36" s="34">
        <f t="shared" si="15"/>
        <v>48.8</v>
      </c>
    </row>
    <row r="37" spans="2:26" s="15" customFormat="1" x14ac:dyDescent="0.25">
      <c r="B37" s="268"/>
      <c r="C37" s="19" t="s">
        <v>67</v>
      </c>
      <c r="D37" s="9" t="s">
        <v>68</v>
      </c>
      <c r="E37" s="108">
        <v>200</v>
      </c>
      <c r="F37" s="30">
        <v>200</v>
      </c>
      <c r="G37" s="21">
        <f>E37*1.4/200</f>
        <v>1.4</v>
      </c>
      <c r="H37" s="32">
        <f>F37*1.4/200</f>
        <v>1.4</v>
      </c>
      <c r="I37" s="21">
        <f>E37*1.2/200</f>
        <v>1.2</v>
      </c>
      <c r="J37" s="32">
        <f>F37*1.2/200</f>
        <v>1.2</v>
      </c>
      <c r="K37" s="21">
        <f>E37*11.4/200</f>
        <v>11.4</v>
      </c>
      <c r="L37" s="32">
        <f>F37*11.4/200</f>
        <v>11.4</v>
      </c>
      <c r="M37" s="21">
        <f t="shared" si="15"/>
        <v>62</v>
      </c>
      <c r="N37" s="34">
        <f t="shared" si="15"/>
        <v>62</v>
      </c>
    </row>
    <row r="38" spans="2:26" x14ac:dyDescent="0.25">
      <c r="B38" s="268"/>
      <c r="C38" s="20" t="s">
        <v>72</v>
      </c>
      <c r="D38" s="6" t="s">
        <v>73</v>
      </c>
      <c r="E38" s="153">
        <v>30</v>
      </c>
      <c r="F38" s="61">
        <v>30</v>
      </c>
      <c r="G38" s="21">
        <f>E38*7.6/100</f>
        <v>2.2799999999999998</v>
      </c>
      <c r="H38" s="32">
        <f>F38*7.6/100</f>
        <v>2.2799999999999998</v>
      </c>
      <c r="I38" s="21">
        <f>E38*0.8/100</f>
        <v>0.24</v>
      </c>
      <c r="J38" s="32">
        <f>F38*0.8/100</f>
        <v>0.24</v>
      </c>
      <c r="K38" s="21">
        <f>E38*49.2/100</f>
        <v>14.76</v>
      </c>
      <c r="L38" s="32">
        <f>F38*49.2/100</f>
        <v>14.76</v>
      </c>
      <c r="M38" s="21">
        <f t="shared" si="15"/>
        <v>70.319999999999993</v>
      </c>
      <c r="N38" s="34">
        <f t="shared" si="15"/>
        <v>70.319999999999993</v>
      </c>
    </row>
    <row r="39" spans="2:26" x14ac:dyDescent="0.25">
      <c r="B39" s="268"/>
      <c r="C39" s="25"/>
      <c r="D39" s="4" t="s">
        <v>13</v>
      </c>
      <c r="E39" s="23">
        <f t="shared" ref="E39:L39" si="16">SUM(E35:E38)</f>
        <v>450</v>
      </c>
      <c r="F39" s="31">
        <f t="shared" si="16"/>
        <v>450</v>
      </c>
      <c r="G39" s="7">
        <f t="shared" si="16"/>
        <v>10.92</v>
      </c>
      <c r="H39" s="33">
        <f t="shared" si="16"/>
        <v>10.92</v>
      </c>
      <c r="I39" s="7">
        <f t="shared" si="16"/>
        <v>8.08</v>
      </c>
      <c r="J39" s="33">
        <f t="shared" si="16"/>
        <v>8.08</v>
      </c>
      <c r="K39" s="7">
        <f t="shared" si="16"/>
        <v>71.47999999999999</v>
      </c>
      <c r="L39" s="33">
        <f t="shared" si="16"/>
        <v>71.47999999999999</v>
      </c>
      <c r="M39" s="7">
        <f t="shared" ref="M39:N39" si="17">G39*4+I39*9+K39*4</f>
        <v>402.31999999999994</v>
      </c>
      <c r="N39" s="35">
        <f t="shared" si="17"/>
        <v>402.31999999999994</v>
      </c>
    </row>
    <row r="40" spans="2:26" x14ac:dyDescent="0.25">
      <c r="B40" s="268"/>
      <c r="C40" s="235" t="s">
        <v>9</v>
      </c>
      <c r="D40" s="236"/>
      <c r="E40" s="236"/>
      <c r="F40" s="236"/>
      <c r="G40" s="236"/>
      <c r="H40" s="236"/>
      <c r="I40" s="236"/>
      <c r="J40" s="236"/>
      <c r="K40" s="236"/>
      <c r="L40" s="236"/>
      <c r="M40" s="236"/>
      <c r="N40" s="237"/>
    </row>
    <row r="41" spans="2:26" x14ac:dyDescent="0.25">
      <c r="B41" s="268"/>
      <c r="C41" s="19" t="s">
        <v>242</v>
      </c>
      <c r="D41" s="9" t="s">
        <v>243</v>
      </c>
      <c r="E41" s="108">
        <v>60</v>
      </c>
      <c r="F41" s="36">
        <v>100</v>
      </c>
      <c r="G41" s="21">
        <f>E41*1.1/100</f>
        <v>0.66</v>
      </c>
      <c r="H41" s="32">
        <f>F41*1.1/100</f>
        <v>1.1000000000000001</v>
      </c>
      <c r="I41" s="21">
        <f>E41*0.2/100</f>
        <v>0.12</v>
      </c>
      <c r="J41" s="32">
        <f>F41*0.2/100</f>
        <v>0.2</v>
      </c>
      <c r="K41" s="21">
        <f>E41*3.8/100</f>
        <v>2.2799999999999998</v>
      </c>
      <c r="L41" s="32">
        <f>F41*3.8/100</f>
        <v>3.8</v>
      </c>
      <c r="M41" s="22">
        <f t="shared" ref="M41:N41" si="18">G41*4+I41*9+K41*4</f>
        <v>12.84</v>
      </c>
      <c r="N41" s="40">
        <f t="shared" si="18"/>
        <v>21.4</v>
      </c>
    </row>
    <row r="42" spans="2:26" s="15" customFormat="1" x14ac:dyDescent="0.25">
      <c r="B42" s="268"/>
      <c r="C42" s="20" t="s">
        <v>145</v>
      </c>
      <c r="D42" s="140" t="s">
        <v>146</v>
      </c>
      <c r="E42" s="108">
        <v>200</v>
      </c>
      <c r="F42" s="30">
        <v>250</v>
      </c>
      <c r="G42" s="21">
        <f>E42*2.43/100</f>
        <v>4.8600000000000003</v>
      </c>
      <c r="H42" s="32">
        <f>F42*2.43/100</f>
        <v>6.0750000000000002</v>
      </c>
      <c r="I42" s="21">
        <f>E42*3.38/100</f>
        <v>6.76</v>
      </c>
      <c r="J42" s="32">
        <f>F42*3.38/100</f>
        <v>8.4499999999999993</v>
      </c>
      <c r="K42" s="21">
        <f>E42*6.57/100</f>
        <v>13.14</v>
      </c>
      <c r="L42" s="32">
        <f>F42*6.57/100</f>
        <v>16.425000000000001</v>
      </c>
      <c r="M42" s="22">
        <f t="shared" ref="M42:N42" si="19">G42*4+I42*9+K42*4</f>
        <v>132.84</v>
      </c>
      <c r="N42" s="40">
        <f t="shared" si="19"/>
        <v>166.05</v>
      </c>
    </row>
    <row r="43" spans="2:26" x14ac:dyDescent="0.25">
      <c r="B43" s="268"/>
      <c r="C43" s="20" t="s">
        <v>262</v>
      </c>
      <c r="D43" s="6" t="s">
        <v>263</v>
      </c>
      <c r="E43" s="108">
        <v>150</v>
      </c>
      <c r="F43" s="30">
        <v>180</v>
      </c>
      <c r="G43" s="21">
        <f>E43*5.67/100</f>
        <v>8.5050000000000008</v>
      </c>
      <c r="H43" s="32">
        <f>F43*5.67/100</f>
        <v>10.206</v>
      </c>
      <c r="I43" s="21">
        <f>E43*4.24/100</f>
        <v>6.36</v>
      </c>
      <c r="J43" s="32">
        <f>F43*4.24/100</f>
        <v>7.6320000000000006</v>
      </c>
      <c r="K43" s="21">
        <f>E43*25.13/100</f>
        <v>37.695</v>
      </c>
      <c r="L43" s="32">
        <f>F43*25.13/100</f>
        <v>45.233999999999995</v>
      </c>
      <c r="M43" s="21">
        <f>G43*4+I43*9+K43*4</f>
        <v>242.04000000000002</v>
      </c>
      <c r="N43" s="34">
        <f>H43*4+J43*9+L43*4</f>
        <v>290.44799999999998</v>
      </c>
    </row>
    <row r="44" spans="2:26" s="15" customFormat="1" x14ac:dyDescent="0.25">
      <c r="B44" s="268"/>
      <c r="C44" s="57" t="s">
        <v>189</v>
      </c>
      <c r="D44" s="117" t="s">
        <v>190</v>
      </c>
      <c r="E44" s="108">
        <v>100</v>
      </c>
      <c r="F44" s="30">
        <v>100</v>
      </c>
      <c r="G44" s="21">
        <f>E44*10.2/65</f>
        <v>15.69230769230769</v>
      </c>
      <c r="H44" s="32">
        <f>F44*10.2/65</f>
        <v>15.69230769230769</v>
      </c>
      <c r="I44" s="21">
        <f>E44*13.2/65</f>
        <v>20.307692307692307</v>
      </c>
      <c r="J44" s="32">
        <f>F44*13.2/65</f>
        <v>20.307692307692307</v>
      </c>
      <c r="K44" s="21">
        <f>E44*0/41</f>
        <v>0</v>
      </c>
      <c r="L44" s="32">
        <f>F44*0/41</f>
        <v>0</v>
      </c>
      <c r="M44" s="21">
        <f t="shared" ref="M44:N45" si="20">G44*4+I44*9+K44*4</f>
        <v>245.53846153846155</v>
      </c>
      <c r="N44" s="34">
        <f>H44*4+J44*9+L44*4</f>
        <v>245.53846153846155</v>
      </c>
    </row>
    <row r="45" spans="2:26" x14ac:dyDescent="0.25">
      <c r="B45" s="268"/>
      <c r="C45" s="19" t="s">
        <v>114</v>
      </c>
      <c r="D45" s="9" t="s">
        <v>115</v>
      </c>
      <c r="E45" s="108">
        <v>200</v>
      </c>
      <c r="F45" s="30">
        <v>200</v>
      </c>
      <c r="G45" s="21">
        <f>E45*0.67/200</f>
        <v>0.67</v>
      </c>
      <c r="H45" s="32">
        <f>F45*0.67/200</f>
        <v>0.67</v>
      </c>
      <c r="I45" s="21">
        <f>E45*0.27/200</f>
        <v>0.27</v>
      </c>
      <c r="J45" s="32">
        <f>F45*0.27/200</f>
        <v>0.27</v>
      </c>
      <c r="K45" s="21">
        <f>E45*18.3/200</f>
        <v>18.3</v>
      </c>
      <c r="L45" s="32">
        <f>F45*18.3/200</f>
        <v>18.3</v>
      </c>
      <c r="M45" s="21">
        <f t="shared" si="20"/>
        <v>78.31</v>
      </c>
      <c r="N45" s="34">
        <f t="shared" si="20"/>
        <v>78.31</v>
      </c>
    </row>
    <row r="46" spans="2:26" x14ac:dyDescent="0.25">
      <c r="B46" s="268"/>
      <c r="C46" s="20" t="s">
        <v>71</v>
      </c>
      <c r="D46" s="6" t="s">
        <v>22</v>
      </c>
      <c r="E46" s="115">
        <v>30</v>
      </c>
      <c r="F46" s="61">
        <v>30</v>
      </c>
      <c r="G46" s="21">
        <f>E46*8/100</f>
        <v>2.4</v>
      </c>
      <c r="H46" s="32">
        <f>F46*8/100</f>
        <v>2.4</v>
      </c>
      <c r="I46" s="21">
        <f>E46*1.5/100</f>
        <v>0.45</v>
      </c>
      <c r="J46" s="32">
        <f>F46*1.5/100</f>
        <v>0.45</v>
      </c>
      <c r="K46" s="21">
        <f>E46*40.1/100</f>
        <v>12.03</v>
      </c>
      <c r="L46" s="32">
        <f>F46*40.1/100</f>
        <v>12.03</v>
      </c>
      <c r="M46" s="21">
        <f t="shared" ref="M46:N46" si="21">G46*4+I46*9+K46*4</f>
        <v>61.769999999999996</v>
      </c>
      <c r="N46" s="34">
        <f t="shared" si="21"/>
        <v>61.769999999999996</v>
      </c>
    </row>
    <row r="47" spans="2:26" s="15" customFormat="1" x14ac:dyDescent="0.25">
      <c r="B47" s="268"/>
      <c r="C47" s="20" t="s">
        <v>72</v>
      </c>
      <c r="D47" s="6" t="s">
        <v>73</v>
      </c>
      <c r="E47" s="115">
        <v>50</v>
      </c>
      <c r="F47" s="61">
        <v>50</v>
      </c>
      <c r="G47" s="21">
        <f>E47*7.6/100</f>
        <v>3.8</v>
      </c>
      <c r="H47" s="32">
        <f>F47*7.6/100</f>
        <v>3.8</v>
      </c>
      <c r="I47" s="21">
        <f>E47*0.8/100</f>
        <v>0.4</v>
      </c>
      <c r="J47" s="32">
        <f>F47*0.8/100</f>
        <v>0.4</v>
      </c>
      <c r="K47" s="21">
        <f>E47*49.2/100</f>
        <v>24.6</v>
      </c>
      <c r="L47" s="32">
        <f>F47*49.2/100</f>
        <v>24.6</v>
      </c>
      <c r="M47" s="21">
        <f t="shared" ref="M47" si="22">G47*4+I47*9+K47*4</f>
        <v>117.2</v>
      </c>
      <c r="N47" s="34">
        <f t="shared" ref="N47" si="23">H47*4+J47*9+L47*4</f>
        <v>117.2</v>
      </c>
    </row>
    <row r="48" spans="2:26" x14ac:dyDescent="0.25">
      <c r="B48" s="268"/>
      <c r="C48" s="20" t="s">
        <v>269</v>
      </c>
      <c r="D48" s="6" t="s">
        <v>270</v>
      </c>
      <c r="E48" s="165">
        <v>75</v>
      </c>
      <c r="F48" s="166">
        <v>75</v>
      </c>
      <c r="G48" s="167">
        <f>13/100*E48</f>
        <v>9.75</v>
      </c>
      <c r="H48" s="168">
        <f>13/100*F48</f>
        <v>9.75</v>
      </c>
      <c r="I48" s="167">
        <f>4.6/100*E48</f>
        <v>3.4499999999999997</v>
      </c>
      <c r="J48" s="168">
        <f>4.6/100*F48</f>
        <v>3.4499999999999997</v>
      </c>
      <c r="K48" s="167">
        <f>36.15/100*E48</f>
        <v>27.112500000000001</v>
      </c>
      <c r="L48" s="168">
        <f>36.15/100*F48</f>
        <v>27.112500000000001</v>
      </c>
      <c r="M48" s="167">
        <f>4*G48+9*I48+4*K48</f>
        <v>178.5</v>
      </c>
      <c r="N48" s="169">
        <f>4*H48+9*J48+4*L48</f>
        <v>178.5</v>
      </c>
    </row>
    <row r="49" spans="2:14" x14ac:dyDescent="0.25">
      <c r="B49" s="268"/>
      <c r="C49" s="20"/>
      <c r="D49" s="4" t="s">
        <v>14</v>
      </c>
      <c r="E49" s="23">
        <f t="shared" ref="E49:N49" si="24">SUM(E41:E48)</f>
        <v>865</v>
      </c>
      <c r="F49" s="37">
        <f t="shared" si="24"/>
        <v>985</v>
      </c>
      <c r="G49" s="7">
        <f t="shared" si="24"/>
        <v>46.337307692307689</v>
      </c>
      <c r="H49" s="33">
        <f t="shared" si="24"/>
        <v>49.693307692307691</v>
      </c>
      <c r="I49" s="23">
        <f t="shared" si="24"/>
        <v>38.117692307692316</v>
      </c>
      <c r="J49" s="33">
        <f t="shared" si="24"/>
        <v>41.15969230769231</v>
      </c>
      <c r="K49" s="7">
        <f t="shared" si="24"/>
        <v>135.15750000000003</v>
      </c>
      <c r="L49" s="33">
        <f t="shared" si="24"/>
        <v>147.50150000000002</v>
      </c>
      <c r="M49" s="7">
        <f t="shared" si="24"/>
        <v>1069.0384615384617</v>
      </c>
      <c r="N49" s="35">
        <f t="shared" si="24"/>
        <v>1159.2164615384615</v>
      </c>
    </row>
    <row r="50" spans="2:14" ht="15.75" thickBot="1" x14ac:dyDescent="0.3">
      <c r="B50" s="269"/>
      <c r="C50" s="24"/>
      <c r="D50" s="16" t="s">
        <v>12</v>
      </c>
      <c r="E50" s="17"/>
      <c r="F50" s="38"/>
      <c r="G50" s="18">
        <f t="shared" ref="G50:N50" si="25">G39+G49</f>
        <v>57.257307692307691</v>
      </c>
      <c r="H50" s="39">
        <f t="shared" si="25"/>
        <v>60.613307692307693</v>
      </c>
      <c r="I50" s="18">
        <f t="shared" si="25"/>
        <v>46.197692307692314</v>
      </c>
      <c r="J50" s="39">
        <f t="shared" si="25"/>
        <v>49.239692307692309</v>
      </c>
      <c r="K50" s="18">
        <f t="shared" si="25"/>
        <v>206.63750000000002</v>
      </c>
      <c r="L50" s="39">
        <f t="shared" si="25"/>
        <v>218.98150000000001</v>
      </c>
      <c r="M50" s="18">
        <f t="shared" si="25"/>
        <v>1471.3584615384616</v>
      </c>
      <c r="N50" s="41">
        <f t="shared" si="25"/>
        <v>1561.5364615384615</v>
      </c>
    </row>
    <row r="51" spans="2:14" x14ac:dyDescent="0.25">
      <c r="B51" s="261" t="s">
        <v>125</v>
      </c>
      <c r="C51" s="238" t="s">
        <v>8</v>
      </c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40"/>
    </row>
    <row r="52" spans="2:14" x14ac:dyDescent="0.25">
      <c r="B52" s="262"/>
      <c r="C52" s="20" t="s">
        <v>69</v>
      </c>
      <c r="D52" s="59" t="s">
        <v>70</v>
      </c>
      <c r="E52" s="108">
        <v>200</v>
      </c>
      <c r="F52" s="30">
        <v>250</v>
      </c>
      <c r="G52" s="21">
        <f>E52*2.8/100</f>
        <v>5.6</v>
      </c>
      <c r="H52" s="32">
        <f>F52*2.8/100</f>
        <v>7</v>
      </c>
      <c r="I52" s="21">
        <f>E52*3.16/100</f>
        <v>6.32</v>
      </c>
      <c r="J52" s="32">
        <f>F52*3.16/100</f>
        <v>7.9</v>
      </c>
      <c r="K52" s="21">
        <f>E52*9.88/100</f>
        <v>19.760000000000002</v>
      </c>
      <c r="L52" s="32">
        <f>F52*9.88/100</f>
        <v>24.7</v>
      </c>
      <c r="M52" s="21">
        <f t="shared" ref="M52:N57" si="26">G52*4+I52*9+K52*4</f>
        <v>158.32</v>
      </c>
      <c r="N52" s="34">
        <f t="shared" si="26"/>
        <v>197.9</v>
      </c>
    </row>
    <row r="53" spans="2:14" x14ac:dyDescent="0.25">
      <c r="B53" s="262"/>
      <c r="C53" s="89" t="s">
        <v>111</v>
      </c>
      <c r="D53" s="90" t="s">
        <v>112</v>
      </c>
      <c r="E53" s="108">
        <v>10</v>
      </c>
      <c r="F53" s="88">
        <v>15</v>
      </c>
      <c r="G53" s="21">
        <f>E53*0.8/100</f>
        <v>0.08</v>
      </c>
      <c r="H53" s="32">
        <f>F53*0.8/100</f>
        <v>0.12</v>
      </c>
      <c r="I53" s="21">
        <f>E53*72.5/100</f>
        <v>7.25</v>
      </c>
      <c r="J53" s="32">
        <f>F53*72.5/100</f>
        <v>10.875</v>
      </c>
      <c r="K53" s="21">
        <f>E53*1.3/100</f>
        <v>0.13</v>
      </c>
      <c r="L53" s="32">
        <f>F53*1.3/100</f>
        <v>0.19500000000000001</v>
      </c>
      <c r="M53" s="21">
        <f t="shared" si="26"/>
        <v>66.089999999999989</v>
      </c>
      <c r="N53" s="34">
        <f t="shared" si="26"/>
        <v>99.135000000000005</v>
      </c>
    </row>
    <row r="54" spans="2:14" x14ac:dyDescent="0.25">
      <c r="B54" s="262"/>
      <c r="C54" s="19" t="s">
        <v>45</v>
      </c>
      <c r="D54" s="9" t="s">
        <v>166</v>
      </c>
      <c r="E54" s="108">
        <v>200</v>
      </c>
      <c r="F54" s="30">
        <v>200</v>
      </c>
      <c r="G54" s="21">
        <f>E54*0.2/200</f>
        <v>0.2</v>
      </c>
      <c r="H54" s="32">
        <f>F54*0.2/200</f>
        <v>0.2</v>
      </c>
      <c r="I54" s="21">
        <f t="shared" ref="I54" si="27">E54*0.1/200</f>
        <v>0.1</v>
      </c>
      <c r="J54" s="32">
        <f t="shared" ref="J54" si="28">F54*0.1/200</f>
        <v>0.1</v>
      </c>
      <c r="K54" s="21">
        <f>E54*9.3/200</f>
        <v>9.3000000000000007</v>
      </c>
      <c r="L54" s="32">
        <f>F54*9.3/200</f>
        <v>9.3000000000000007</v>
      </c>
      <c r="M54" s="21">
        <f t="shared" ref="M54" si="29">G54*4+I54*9+K54*4</f>
        <v>38.900000000000006</v>
      </c>
      <c r="N54" s="34">
        <f t="shared" ref="N54" si="30">H54*4+J54*9+L54*4</f>
        <v>38.900000000000006</v>
      </c>
    </row>
    <row r="55" spans="2:14" x14ac:dyDescent="0.25">
      <c r="B55" s="262"/>
      <c r="C55" s="20" t="s">
        <v>126</v>
      </c>
      <c r="D55" s="95" t="s">
        <v>127</v>
      </c>
      <c r="E55" s="60">
        <v>30</v>
      </c>
      <c r="F55" s="61">
        <v>30</v>
      </c>
      <c r="G55" s="96">
        <f>E55*7.5/100</f>
        <v>2.25</v>
      </c>
      <c r="H55" s="43">
        <f>F55*7.5/100</f>
        <v>2.25</v>
      </c>
      <c r="I55" s="97">
        <f>E55*2.9/100</f>
        <v>0.87</v>
      </c>
      <c r="J55" s="32">
        <f>F55*2.9/100</f>
        <v>0.87</v>
      </c>
      <c r="K55" s="97">
        <f>E55*51.4/100</f>
        <v>15.42</v>
      </c>
      <c r="L55" s="32">
        <f>F55*51.4/100</f>
        <v>15.42</v>
      </c>
      <c r="M55" s="97">
        <f t="shared" si="26"/>
        <v>78.509999999999991</v>
      </c>
      <c r="N55" s="34">
        <f t="shared" si="26"/>
        <v>78.509999999999991</v>
      </c>
    </row>
    <row r="56" spans="2:14" x14ac:dyDescent="0.25">
      <c r="B56" s="262"/>
      <c r="C56" s="20" t="s">
        <v>72</v>
      </c>
      <c r="D56" s="6" t="s">
        <v>73</v>
      </c>
      <c r="E56" s="153">
        <v>30</v>
      </c>
      <c r="F56" s="61">
        <v>30</v>
      </c>
      <c r="G56" s="21">
        <f>E56*7.6/100</f>
        <v>2.2799999999999998</v>
      </c>
      <c r="H56" s="32">
        <f>F56*7.6/100</f>
        <v>2.2799999999999998</v>
      </c>
      <c r="I56" s="21">
        <f>E56*0.8/100</f>
        <v>0.24</v>
      </c>
      <c r="J56" s="32">
        <f>F56*0.8/100</f>
        <v>0.24</v>
      </c>
      <c r="K56" s="21">
        <f>E56*49.2/100</f>
        <v>14.76</v>
      </c>
      <c r="L56" s="32">
        <f>F56*49.2/100</f>
        <v>14.76</v>
      </c>
      <c r="M56" s="21">
        <f t="shared" si="26"/>
        <v>70.319999999999993</v>
      </c>
      <c r="N56" s="34">
        <f t="shared" si="26"/>
        <v>70.319999999999993</v>
      </c>
    </row>
    <row r="57" spans="2:14" x14ac:dyDescent="0.25">
      <c r="B57" s="262"/>
      <c r="C57" s="25"/>
      <c r="D57" s="4" t="s">
        <v>13</v>
      </c>
      <c r="E57" s="23">
        <f t="shared" ref="E57:L57" si="31">SUM(E52:E56)</f>
        <v>470</v>
      </c>
      <c r="F57" s="31">
        <f t="shared" si="31"/>
        <v>525</v>
      </c>
      <c r="G57" s="7">
        <f>SUM(G52:G56)</f>
        <v>10.409999999999998</v>
      </c>
      <c r="H57" s="33">
        <f t="shared" si="31"/>
        <v>11.85</v>
      </c>
      <c r="I57" s="7">
        <f t="shared" si="31"/>
        <v>14.78</v>
      </c>
      <c r="J57" s="33">
        <f t="shared" si="31"/>
        <v>19.984999999999999</v>
      </c>
      <c r="K57" s="7">
        <f t="shared" si="31"/>
        <v>59.37</v>
      </c>
      <c r="L57" s="33">
        <f t="shared" si="31"/>
        <v>64.375</v>
      </c>
      <c r="M57" s="7">
        <f t="shared" si="26"/>
        <v>412.14</v>
      </c>
      <c r="N57" s="35">
        <f t="shared" si="26"/>
        <v>484.76499999999999</v>
      </c>
    </row>
    <row r="58" spans="2:14" x14ac:dyDescent="0.25">
      <c r="B58" s="262"/>
      <c r="C58" s="235" t="s">
        <v>9</v>
      </c>
      <c r="D58" s="236"/>
      <c r="E58" s="236"/>
      <c r="F58" s="236"/>
      <c r="G58" s="236"/>
      <c r="H58" s="236"/>
      <c r="I58" s="236"/>
      <c r="J58" s="236"/>
      <c r="K58" s="236"/>
      <c r="L58" s="236"/>
      <c r="M58" s="236"/>
      <c r="N58" s="237"/>
    </row>
    <row r="59" spans="2:14" x14ac:dyDescent="0.25">
      <c r="B59" s="262"/>
      <c r="C59" s="19" t="s">
        <v>173</v>
      </c>
      <c r="D59" s="9" t="s">
        <v>174</v>
      </c>
      <c r="E59" s="124">
        <v>60</v>
      </c>
      <c r="F59" s="42">
        <v>100</v>
      </c>
      <c r="G59" s="22">
        <f>E59*1/100</f>
        <v>0.6</v>
      </c>
      <c r="H59" s="43">
        <f>F59*1/100</f>
        <v>1</v>
      </c>
      <c r="I59" s="22">
        <f>E59*6/100</f>
        <v>3.6</v>
      </c>
      <c r="J59" s="43">
        <f>F59*6/100</f>
        <v>6</v>
      </c>
      <c r="K59" s="22">
        <f>E59*3.1/100</f>
        <v>1.86</v>
      </c>
      <c r="L59" s="43">
        <f>F59*3.1/100</f>
        <v>3.1</v>
      </c>
      <c r="M59" s="22">
        <f t="shared" ref="M59:N63" si="32">G59*4+I59*9+K59*4</f>
        <v>42.239999999999995</v>
      </c>
      <c r="N59" s="40">
        <f t="shared" si="32"/>
        <v>70.400000000000006</v>
      </c>
    </row>
    <row r="60" spans="2:14" x14ac:dyDescent="0.25">
      <c r="B60" s="262"/>
      <c r="C60" s="19" t="s">
        <v>21</v>
      </c>
      <c r="D60" s="130" t="s">
        <v>62</v>
      </c>
      <c r="E60" s="124">
        <v>200</v>
      </c>
      <c r="F60" s="42">
        <v>200</v>
      </c>
      <c r="G60" s="21">
        <f>E60*1.77/100</f>
        <v>3.54</v>
      </c>
      <c r="H60" s="32">
        <f>F60*1.77/100</f>
        <v>3.54</v>
      </c>
      <c r="I60" s="21">
        <f>E60*2.89/100</f>
        <v>5.78</v>
      </c>
      <c r="J60" s="32">
        <f>F60*2.89/100</f>
        <v>5.78</v>
      </c>
      <c r="K60" s="21">
        <f>E60*4.47/100</f>
        <v>8.94</v>
      </c>
      <c r="L60" s="32">
        <f>F60*4.47/100</f>
        <v>8.94</v>
      </c>
      <c r="M60" s="21">
        <f t="shared" si="32"/>
        <v>101.94</v>
      </c>
      <c r="N60" s="34">
        <f>H60*4+J60*9+L60*4</f>
        <v>101.94</v>
      </c>
    </row>
    <row r="61" spans="2:14" x14ac:dyDescent="0.25">
      <c r="B61" s="262"/>
      <c r="C61" s="20" t="s">
        <v>139</v>
      </c>
      <c r="D61" s="9" t="s">
        <v>140</v>
      </c>
      <c r="E61" s="108">
        <v>230</v>
      </c>
      <c r="F61" s="30">
        <v>250</v>
      </c>
      <c r="G61" s="21">
        <f>E61*5.7/100</f>
        <v>13.11</v>
      </c>
      <c r="H61" s="32">
        <f>F61*5.7/100</f>
        <v>14.25</v>
      </c>
      <c r="I61" s="21">
        <f>E61*9.45/100</f>
        <v>21.734999999999999</v>
      </c>
      <c r="J61" s="32">
        <f>F61*9.45/100</f>
        <v>23.625</v>
      </c>
      <c r="K61" s="21">
        <f>E61*9.4/100</f>
        <v>21.62</v>
      </c>
      <c r="L61" s="32">
        <f>F61*9.4/100</f>
        <v>23.5</v>
      </c>
      <c r="M61" s="21">
        <f t="shared" si="32"/>
        <v>334.53500000000003</v>
      </c>
      <c r="N61" s="34">
        <f t="shared" si="32"/>
        <v>363.625</v>
      </c>
    </row>
    <row r="62" spans="2:14" x14ac:dyDescent="0.25">
      <c r="B62" s="262"/>
      <c r="C62" s="20" t="s">
        <v>76</v>
      </c>
      <c r="D62" s="6" t="s">
        <v>141</v>
      </c>
      <c r="E62" s="108">
        <v>200</v>
      </c>
      <c r="F62" s="30">
        <v>200</v>
      </c>
      <c r="G62" s="21">
        <f>E62*0.15/100</f>
        <v>0.3</v>
      </c>
      <c r="H62" s="32">
        <f>F62*0.15/100</f>
        <v>0.3</v>
      </c>
      <c r="I62" s="21">
        <f>E62*0.005/100</f>
        <v>0.01</v>
      </c>
      <c r="J62" s="32">
        <f>F62*0.005/100</f>
        <v>0.01</v>
      </c>
      <c r="K62" s="21">
        <f>E62*8.75/100</f>
        <v>17.5</v>
      </c>
      <c r="L62" s="32">
        <f>F62*8.75/100</f>
        <v>17.5</v>
      </c>
      <c r="M62" s="21">
        <f t="shared" si="32"/>
        <v>71.290000000000006</v>
      </c>
      <c r="N62" s="34">
        <f t="shared" si="32"/>
        <v>71.290000000000006</v>
      </c>
    </row>
    <row r="63" spans="2:14" x14ac:dyDescent="0.25">
      <c r="B63" s="262"/>
      <c r="C63" s="20" t="s">
        <v>71</v>
      </c>
      <c r="D63" s="6" t="s">
        <v>22</v>
      </c>
      <c r="E63" s="60">
        <v>30</v>
      </c>
      <c r="F63" s="61">
        <v>30</v>
      </c>
      <c r="G63" s="21">
        <f>E63*8/100</f>
        <v>2.4</v>
      </c>
      <c r="H63" s="32">
        <f>F63*8/100</f>
        <v>2.4</v>
      </c>
      <c r="I63" s="21">
        <f>E63*1.5/100</f>
        <v>0.45</v>
      </c>
      <c r="J63" s="32">
        <f>F63*1.5/100</f>
        <v>0.45</v>
      </c>
      <c r="K63" s="21">
        <f>E63*40.1/100</f>
        <v>12.03</v>
      </c>
      <c r="L63" s="32">
        <f>F63*40.1/100</f>
        <v>12.03</v>
      </c>
      <c r="M63" s="21">
        <f t="shared" si="32"/>
        <v>61.769999999999996</v>
      </c>
      <c r="N63" s="34">
        <f t="shared" si="32"/>
        <v>61.769999999999996</v>
      </c>
    </row>
    <row r="64" spans="2:14" s="15" customFormat="1" x14ac:dyDescent="0.25">
      <c r="B64" s="262"/>
      <c r="C64" s="20" t="s">
        <v>72</v>
      </c>
      <c r="D64" s="6" t="s">
        <v>73</v>
      </c>
      <c r="E64" s="60">
        <v>50</v>
      </c>
      <c r="F64" s="61">
        <v>50</v>
      </c>
      <c r="G64" s="21">
        <f>E64*7.6/100</f>
        <v>3.8</v>
      </c>
      <c r="H64" s="32">
        <f>F64*7.6/100</f>
        <v>3.8</v>
      </c>
      <c r="I64" s="21">
        <f>E64*0.8/100</f>
        <v>0.4</v>
      </c>
      <c r="J64" s="32">
        <f>F64*0.8/100</f>
        <v>0.4</v>
      </c>
      <c r="K64" s="21">
        <f>E64*49.2/100</f>
        <v>24.6</v>
      </c>
      <c r="L64" s="32">
        <f>F64*49.2/100</f>
        <v>24.6</v>
      </c>
      <c r="M64" s="21">
        <f t="shared" ref="M64:M65" si="33">G64*4+I64*9+K64*4</f>
        <v>117.2</v>
      </c>
      <c r="N64" s="34">
        <f t="shared" ref="N64:N65" si="34">H64*4+J64*9+L64*4</f>
        <v>117.2</v>
      </c>
    </row>
    <row r="65" spans="2:14" x14ac:dyDescent="0.25">
      <c r="B65" s="262"/>
      <c r="C65" s="20" t="s">
        <v>268</v>
      </c>
      <c r="D65" s="6" t="s">
        <v>110</v>
      </c>
      <c r="E65" s="108">
        <v>100</v>
      </c>
      <c r="F65" s="30">
        <v>100</v>
      </c>
      <c r="G65" s="21">
        <f>E65*0.4/100</f>
        <v>0.4</v>
      </c>
      <c r="H65" s="32">
        <f>F65*0.4/100</f>
        <v>0.4</v>
      </c>
      <c r="I65" s="21">
        <f>E65*0.4/100</f>
        <v>0.4</v>
      </c>
      <c r="J65" s="32">
        <f>F65*0.4/100</f>
        <v>0.4</v>
      </c>
      <c r="K65" s="21">
        <f>E65*9.8/100</f>
        <v>9.8000000000000007</v>
      </c>
      <c r="L65" s="32">
        <f>F65*9.8/100</f>
        <v>9.8000000000000007</v>
      </c>
      <c r="M65" s="21">
        <f t="shared" si="33"/>
        <v>44.400000000000006</v>
      </c>
      <c r="N65" s="34">
        <f t="shared" si="34"/>
        <v>44.400000000000006</v>
      </c>
    </row>
    <row r="66" spans="2:14" x14ac:dyDescent="0.25">
      <c r="B66" s="262"/>
      <c r="C66" s="20"/>
      <c r="D66" s="4" t="s">
        <v>14</v>
      </c>
      <c r="E66" s="23">
        <f t="shared" ref="E66:N66" si="35">SUM(E59:E65)</f>
        <v>870</v>
      </c>
      <c r="F66" s="37">
        <f t="shared" si="35"/>
        <v>930</v>
      </c>
      <c r="G66" s="7">
        <f t="shared" si="35"/>
        <v>24.15</v>
      </c>
      <c r="H66" s="33">
        <f t="shared" si="35"/>
        <v>25.689999999999998</v>
      </c>
      <c r="I66" s="23">
        <f t="shared" si="35"/>
        <v>32.375</v>
      </c>
      <c r="J66" s="33">
        <f t="shared" si="35"/>
        <v>36.664999999999999</v>
      </c>
      <c r="K66" s="7">
        <f t="shared" si="35"/>
        <v>96.350000000000009</v>
      </c>
      <c r="L66" s="33">
        <f t="shared" si="35"/>
        <v>99.469999999999985</v>
      </c>
      <c r="M66" s="7">
        <f t="shared" si="35"/>
        <v>773.375</v>
      </c>
      <c r="N66" s="35">
        <f t="shared" si="35"/>
        <v>830.625</v>
      </c>
    </row>
    <row r="67" spans="2:14" ht="15.75" thickBot="1" x14ac:dyDescent="0.3">
      <c r="B67" s="263"/>
      <c r="C67" s="24"/>
      <c r="D67" s="16" t="s">
        <v>12</v>
      </c>
      <c r="E67" s="17"/>
      <c r="F67" s="38"/>
      <c r="G67" s="18">
        <f t="shared" ref="G67:N67" si="36">G57+G66</f>
        <v>34.559999999999995</v>
      </c>
      <c r="H67" s="39">
        <f t="shared" si="36"/>
        <v>37.54</v>
      </c>
      <c r="I67" s="18">
        <f t="shared" si="36"/>
        <v>47.155000000000001</v>
      </c>
      <c r="J67" s="39">
        <f t="shared" si="36"/>
        <v>56.65</v>
      </c>
      <c r="K67" s="18">
        <f t="shared" si="36"/>
        <v>155.72</v>
      </c>
      <c r="L67" s="39">
        <f t="shared" si="36"/>
        <v>163.84499999999997</v>
      </c>
      <c r="M67" s="18">
        <f t="shared" si="36"/>
        <v>1185.5149999999999</v>
      </c>
      <c r="N67" s="41">
        <f t="shared" si="36"/>
        <v>1315.3899999999999</v>
      </c>
    </row>
    <row r="72" spans="2:14" x14ac:dyDescent="0.25">
      <c r="D72" s="12" t="s">
        <v>24</v>
      </c>
    </row>
    <row r="73" spans="2:14" x14ac:dyDescent="0.25">
      <c r="J73" s="1"/>
    </row>
  </sheetData>
  <mergeCells count="24">
    <mergeCell ref="B51:B67"/>
    <mergeCell ref="C51:N51"/>
    <mergeCell ref="C58:N58"/>
    <mergeCell ref="B12:B14"/>
    <mergeCell ref="B15:B33"/>
    <mergeCell ref="B34:B50"/>
    <mergeCell ref="C1:G1"/>
    <mergeCell ref="C3:F3"/>
    <mergeCell ref="D7:N7"/>
    <mergeCell ref="D8:N8"/>
    <mergeCell ref="D9:N9"/>
    <mergeCell ref="D10:M10"/>
    <mergeCell ref="C40:N40"/>
    <mergeCell ref="C15:N15"/>
    <mergeCell ref="C22:N22"/>
    <mergeCell ref="C34:N34"/>
    <mergeCell ref="C12:C14"/>
    <mergeCell ref="D12:D14"/>
    <mergeCell ref="E12:F13"/>
    <mergeCell ref="G12:L12"/>
    <mergeCell ref="M12:N13"/>
    <mergeCell ref="G13:H13"/>
    <mergeCell ref="I13:J13"/>
    <mergeCell ref="K13:L13"/>
  </mergeCells>
  <pageMargins left="0.25" right="0.25" top="0.75" bottom="0.75" header="0.3" footer="0.3"/>
  <pageSetup paperSize="9" scale="70" fitToWidth="0" fitToHeight="0" orientation="portrait" horizontalDpi="4294967295" verticalDpi="4294967295" r:id="rId1"/>
  <ignoredErrors>
    <ignoredError sqref="G53:H5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B4:Z61"/>
  <sheetViews>
    <sheetView topLeftCell="A58" zoomScale="90" zoomScaleNormal="90" zoomScalePageLayoutView="70" workbookViewId="0">
      <selection activeCell="C24" sqref="C24:N24"/>
    </sheetView>
  </sheetViews>
  <sheetFormatPr defaultRowHeight="15" x14ac:dyDescent="0.25"/>
  <cols>
    <col min="1" max="1" width="5.7109375" style="15" customWidth="1"/>
    <col min="2" max="2" width="3.85546875" style="15" customWidth="1"/>
    <col min="3" max="3" width="10.5703125" style="15" customWidth="1"/>
    <col min="4" max="4" width="42.7109375" style="15" customWidth="1"/>
    <col min="5" max="5" width="7.28515625" style="15" customWidth="1"/>
    <col min="6" max="6" width="6.140625" style="15" customWidth="1"/>
    <col min="7" max="7" width="6.7109375" style="15" customWidth="1"/>
    <col min="8" max="8" width="6.85546875" style="15" customWidth="1"/>
    <col min="9" max="9" width="6.42578125" style="15" customWidth="1"/>
    <col min="10" max="10" width="6.5703125" style="15" customWidth="1"/>
    <col min="11" max="11" width="7.5703125" style="15" customWidth="1"/>
    <col min="12" max="12" width="7.42578125" style="15" customWidth="1"/>
    <col min="13" max="13" width="8.5703125" style="15" customWidth="1"/>
    <col min="14" max="14" width="10.28515625" style="15" customWidth="1"/>
    <col min="15" max="15" width="9" style="15" customWidth="1"/>
    <col min="16" max="16" width="7.28515625" style="15" customWidth="1"/>
    <col min="17" max="20" width="9.140625" style="15"/>
    <col min="21" max="21" width="7.28515625" style="15" customWidth="1"/>
    <col min="22" max="22" width="7.7109375" style="15" customWidth="1"/>
    <col min="23" max="23" width="9.140625" style="15"/>
    <col min="24" max="24" width="7.7109375" style="15" customWidth="1"/>
    <col min="25" max="16384" width="9.140625" style="15"/>
  </cols>
  <sheetData>
    <row r="4" spans="2:26" ht="15.75" thickBot="1" x14ac:dyDescent="0.3"/>
    <row r="5" spans="2:26" ht="15" customHeight="1" x14ac:dyDescent="0.25">
      <c r="B5" s="276" t="s">
        <v>199</v>
      </c>
      <c r="C5" s="241" t="s">
        <v>0</v>
      </c>
      <c r="D5" s="244" t="s">
        <v>1</v>
      </c>
      <c r="E5" s="247" t="s">
        <v>6</v>
      </c>
      <c r="F5" s="248"/>
      <c r="G5" s="251" t="s">
        <v>7</v>
      </c>
      <c r="H5" s="251"/>
      <c r="I5" s="251"/>
      <c r="J5" s="251"/>
      <c r="K5" s="251"/>
      <c r="L5" s="251"/>
      <c r="M5" s="252" t="s">
        <v>5</v>
      </c>
      <c r="N5" s="253"/>
      <c r="O5" s="1"/>
      <c r="P5" s="3"/>
      <c r="Q5" s="5"/>
      <c r="R5" s="5"/>
      <c r="S5" s="5"/>
      <c r="T5" s="5"/>
      <c r="U5" s="1"/>
      <c r="V5" s="3"/>
      <c r="W5" s="5"/>
      <c r="X5" s="5"/>
      <c r="Y5" s="5"/>
      <c r="Z5" s="5"/>
    </row>
    <row r="6" spans="2:26" x14ac:dyDescent="0.25">
      <c r="B6" s="277"/>
      <c r="C6" s="242"/>
      <c r="D6" s="245"/>
      <c r="E6" s="249"/>
      <c r="F6" s="250"/>
      <c r="G6" s="256" t="s">
        <v>3</v>
      </c>
      <c r="H6" s="256"/>
      <c r="I6" s="254" t="s">
        <v>2</v>
      </c>
      <c r="J6" s="254"/>
      <c r="K6" s="256" t="s">
        <v>4</v>
      </c>
      <c r="L6" s="256"/>
      <c r="M6" s="254"/>
      <c r="N6" s="255"/>
      <c r="O6" s="1"/>
      <c r="P6" s="3"/>
      <c r="Q6" s="5"/>
      <c r="R6" s="5"/>
      <c r="S6" s="5"/>
      <c r="T6" s="5"/>
      <c r="U6" s="1"/>
      <c r="V6" s="3"/>
      <c r="W6" s="5"/>
      <c r="X6" s="5"/>
      <c r="Y6" s="5"/>
      <c r="Z6" s="5"/>
    </row>
    <row r="7" spans="2:26" ht="21.75" customHeight="1" thickBot="1" x14ac:dyDescent="0.3">
      <c r="B7" s="278"/>
      <c r="C7" s="243"/>
      <c r="D7" s="246"/>
      <c r="E7" s="26" t="s">
        <v>15</v>
      </c>
      <c r="F7" s="27" t="s">
        <v>43</v>
      </c>
      <c r="G7" s="26" t="s">
        <v>15</v>
      </c>
      <c r="H7" s="27" t="s">
        <v>43</v>
      </c>
      <c r="I7" s="26" t="s">
        <v>15</v>
      </c>
      <c r="J7" s="27" t="s">
        <v>43</v>
      </c>
      <c r="K7" s="26" t="s">
        <v>15</v>
      </c>
      <c r="L7" s="27" t="s">
        <v>43</v>
      </c>
      <c r="M7" s="26" t="s">
        <v>15</v>
      </c>
      <c r="N7" s="28" t="s">
        <v>43</v>
      </c>
      <c r="O7" s="1"/>
      <c r="P7" s="3"/>
      <c r="Q7" s="5"/>
      <c r="R7" s="5"/>
      <c r="S7" s="5"/>
      <c r="T7" s="5"/>
      <c r="U7" s="1"/>
      <c r="V7" s="3"/>
      <c r="W7" s="5"/>
      <c r="X7" s="5"/>
      <c r="Y7" s="5"/>
      <c r="Z7" s="5"/>
    </row>
    <row r="8" spans="2:26" x14ac:dyDescent="0.25">
      <c r="B8" s="267" t="s">
        <v>150</v>
      </c>
      <c r="C8" s="238" t="s">
        <v>8</v>
      </c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40"/>
    </row>
    <row r="9" spans="2:26" x14ac:dyDescent="0.25">
      <c r="B9" s="268"/>
      <c r="C9" s="94" t="s">
        <v>54</v>
      </c>
      <c r="D9" s="50" t="s">
        <v>17</v>
      </c>
      <c r="E9" s="93">
        <v>200</v>
      </c>
      <c r="F9" s="30">
        <v>200</v>
      </c>
      <c r="G9" s="21">
        <f>E9*2.5/100</f>
        <v>5</v>
      </c>
      <c r="H9" s="32">
        <f>F9*2.5/100</f>
        <v>5</v>
      </c>
      <c r="I9" s="21">
        <f>E9*3.18/100</f>
        <v>6.36</v>
      </c>
      <c r="J9" s="32">
        <f>F9*3.18/100</f>
        <v>6.36</v>
      </c>
      <c r="K9" s="21">
        <f>E9*15.7/100</f>
        <v>31.4</v>
      </c>
      <c r="L9" s="32">
        <f>F9*15.7/100</f>
        <v>31.4</v>
      </c>
      <c r="M9" s="21">
        <f t="shared" ref="M9:N14" si="0">G9*4+I9*9+K9*4</f>
        <v>202.84</v>
      </c>
      <c r="N9" s="34">
        <f t="shared" si="0"/>
        <v>202.84</v>
      </c>
    </row>
    <row r="10" spans="2:26" x14ac:dyDescent="0.25">
      <c r="B10" s="268"/>
      <c r="C10" s="89" t="s">
        <v>108</v>
      </c>
      <c r="D10" s="90" t="s">
        <v>109</v>
      </c>
      <c r="E10" s="93">
        <v>10</v>
      </c>
      <c r="F10" s="88">
        <v>15</v>
      </c>
      <c r="G10" s="21">
        <f>E10*23.2/100</f>
        <v>2.3199999999999998</v>
      </c>
      <c r="H10" s="32">
        <f>F10*23.2/100</f>
        <v>3.48</v>
      </c>
      <c r="I10" s="21">
        <f>E10*29.5/100</f>
        <v>2.95</v>
      </c>
      <c r="J10" s="32">
        <f>F10*29.5/100</f>
        <v>4.4249999999999998</v>
      </c>
      <c r="K10" s="21">
        <f>E10*0/100</f>
        <v>0</v>
      </c>
      <c r="L10" s="32">
        <f>F10*0/100</f>
        <v>0</v>
      </c>
      <c r="M10" s="21">
        <f t="shared" si="0"/>
        <v>35.83</v>
      </c>
      <c r="N10" s="34">
        <f t="shared" si="0"/>
        <v>53.744999999999997</v>
      </c>
    </row>
    <row r="11" spans="2:26" x14ac:dyDescent="0.25">
      <c r="B11" s="268"/>
      <c r="C11" s="19" t="s">
        <v>55</v>
      </c>
      <c r="D11" s="9" t="s">
        <v>56</v>
      </c>
      <c r="E11" s="108">
        <v>200</v>
      </c>
      <c r="F11" s="30">
        <v>200</v>
      </c>
      <c r="G11" s="21">
        <f>E11*1.65/100</f>
        <v>3.3</v>
      </c>
      <c r="H11" s="32">
        <f>F11*1.65/100</f>
        <v>3.3</v>
      </c>
      <c r="I11" s="21">
        <f>E11*1.45/100</f>
        <v>2.9</v>
      </c>
      <c r="J11" s="32">
        <f>F11*1.45/100</f>
        <v>2.9</v>
      </c>
      <c r="K11" s="21">
        <f>E11*6.9/100</f>
        <v>13.8</v>
      </c>
      <c r="L11" s="32">
        <f>F11*6.9/100</f>
        <v>13.8</v>
      </c>
      <c r="M11" s="21">
        <f t="shared" ref="M11" si="1">G11*4+I11*9+K11*4</f>
        <v>94.5</v>
      </c>
      <c r="N11" s="34">
        <f t="shared" ref="N11" si="2">H11*4+J11*9+L11*4</f>
        <v>94.5</v>
      </c>
    </row>
    <row r="12" spans="2:26" x14ac:dyDescent="0.25">
      <c r="B12" s="268"/>
      <c r="C12" s="20" t="s">
        <v>126</v>
      </c>
      <c r="D12" s="95" t="s">
        <v>127</v>
      </c>
      <c r="E12" s="60">
        <v>30</v>
      </c>
      <c r="F12" s="61">
        <v>30</v>
      </c>
      <c r="G12" s="96">
        <f>E12*7.5/100</f>
        <v>2.25</v>
      </c>
      <c r="H12" s="43">
        <f>F12*7.5/100</f>
        <v>2.25</v>
      </c>
      <c r="I12" s="97">
        <f>E12*2.9/100</f>
        <v>0.87</v>
      </c>
      <c r="J12" s="32">
        <f>F12*2.9/100</f>
        <v>0.87</v>
      </c>
      <c r="K12" s="97">
        <f>E12*51.4/100</f>
        <v>15.42</v>
      </c>
      <c r="L12" s="32">
        <f>F12*51.4/100</f>
        <v>15.42</v>
      </c>
      <c r="M12" s="97">
        <f t="shared" ref="M12:M13" si="3">G12*4+I12*9+K12*4</f>
        <v>78.509999999999991</v>
      </c>
      <c r="N12" s="34">
        <f t="shared" ref="N12:N13" si="4">H12*4+J12*9+L12*4</f>
        <v>78.509999999999991</v>
      </c>
    </row>
    <row r="13" spans="2:26" x14ac:dyDescent="0.25">
      <c r="B13" s="268"/>
      <c r="C13" s="20" t="s">
        <v>72</v>
      </c>
      <c r="D13" s="6" t="s">
        <v>73</v>
      </c>
      <c r="E13" s="60">
        <v>30</v>
      </c>
      <c r="F13" s="61">
        <v>30</v>
      </c>
      <c r="G13" s="21">
        <f>E13*7.6/100</f>
        <v>2.2799999999999998</v>
      </c>
      <c r="H13" s="32">
        <f>F13*7.6/100</f>
        <v>2.2799999999999998</v>
      </c>
      <c r="I13" s="21">
        <f>E13*0.8/100</f>
        <v>0.24</v>
      </c>
      <c r="J13" s="32">
        <f>F13*0.8/100</f>
        <v>0.24</v>
      </c>
      <c r="K13" s="21">
        <f>E13*49.2/100</f>
        <v>14.76</v>
      </c>
      <c r="L13" s="32">
        <f>F13*49.2/100</f>
        <v>14.76</v>
      </c>
      <c r="M13" s="21">
        <f t="shared" si="3"/>
        <v>70.319999999999993</v>
      </c>
      <c r="N13" s="34">
        <f t="shared" si="4"/>
        <v>70.319999999999993</v>
      </c>
    </row>
    <row r="14" spans="2:26" x14ac:dyDescent="0.25">
      <c r="B14" s="268"/>
      <c r="C14" s="25"/>
      <c r="D14" s="4" t="s">
        <v>13</v>
      </c>
      <c r="E14" s="23">
        <f t="shared" ref="E14:L14" si="5">SUM(E9:E13)</f>
        <v>470</v>
      </c>
      <c r="F14" s="31">
        <f t="shared" si="5"/>
        <v>475</v>
      </c>
      <c r="G14" s="7">
        <f t="shared" si="5"/>
        <v>15.15</v>
      </c>
      <c r="H14" s="33">
        <f t="shared" si="5"/>
        <v>16.310000000000002</v>
      </c>
      <c r="I14" s="7">
        <f t="shared" si="5"/>
        <v>13.32</v>
      </c>
      <c r="J14" s="33">
        <f t="shared" si="5"/>
        <v>14.795</v>
      </c>
      <c r="K14" s="7">
        <f t="shared" si="5"/>
        <v>75.38000000000001</v>
      </c>
      <c r="L14" s="33">
        <f t="shared" si="5"/>
        <v>75.38000000000001</v>
      </c>
      <c r="M14" s="7">
        <f t="shared" si="0"/>
        <v>482</v>
      </c>
      <c r="N14" s="35">
        <f t="shared" si="0"/>
        <v>499.91500000000008</v>
      </c>
    </row>
    <row r="15" spans="2:26" x14ac:dyDescent="0.25">
      <c r="B15" s="268"/>
      <c r="C15" s="273" t="s">
        <v>9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5"/>
    </row>
    <row r="16" spans="2:26" x14ac:dyDescent="0.25">
      <c r="B16" s="268"/>
      <c r="C16" s="19" t="s">
        <v>82</v>
      </c>
      <c r="D16" s="9" t="s">
        <v>83</v>
      </c>
      <c r="E16" s="107">
        <v>60</v>
      </c>
      <c r="F16" s="42">
        <v>100</v>
      </c>
      <c r="G16" s="22">
        <f>E16*0.7/100</f>
        <v>0.42</v>
      </c>
      <c r="H16" s="43">
        <f>F16*0.7/100</f>
        <v>0.7</v>
      </c>
      <c r="I16" s="22">
        <f>E16*0.1/100</f>
        <v>0.06</v>
      </c>
      <c r="J16" s="43">
        <f>F16*0.1/100</f>
        <v>0.1</v>
      </c>
      <c r="K16" s="22">
        <f>E16*1.9/100</f>
        <v>1.1399999999999999</v>
      </c>
      <c r="L16" s="43">
        <f>F16*1.9/100</f>
        <v>1.9</v>
      </c>
      <c r="M16" s="22">
        <f t="shared" ref="M16:N17" si="6">G16*4+I16*9+K16*4</f>
        <v>6.7799999999999994</v>
      </c>
      <c r="N16" s="40">
        <f t="shared" si="6"/>
        <v>11.299999999999999</v>
      </c>
      <c r="R16" s="15" t="s">
        <v>24</v>
      </c>
    </row>
    <row r="17" spans="2:18" x14ac:dyDescent="0.25">
      <c r="B17" s="268"/>
      <c r="C17" s="92" t="s">
        <v>118</v>
      </c>
      <c r="D17" s="143" t="s">
        <v>119</v>
      </c>
      <c r="E17" s="108">
        <v>200</v>
      </c>
      <c r="F17" s="36">
        <v>250</v>
      </c>
      <c r="G17" s="21">
        <f>E17*3.08/100</f>
        <v>6.16</v>
      </c>
      <c r="H17" s="32">
        <f>F17*3.08/100</f>
        <v>7.7</v>
      </c>
      <c r="I17" s="21">
        <f>E17*2.85/100</f>
        <v>5.7</v>
      </c>
      <c r="J17" s="32">
        <f>F17*2.85/100</f>
        <v>7.125</v>
      </c>
      <c r="K17" s="21">
        <f>E17*7.14/100</f>
        <v>14.28</v>
      </c>
      <c r="L17" s="32">
        <f>F17*7.14/100</f>
        <v>17.850000000000001</v>
      </c>
      <c r="M17" s="21">
        <f t="shared" si="6"/>
        <v>133.06</v>
      </c>
      <c r="N17" s="34">
        <f>H17*4+J17*9+L17*4</f>
        <v>166.32499999999999</v>
      </c>
    </row>
    <row r="18" spans="2:18" x14ac:dyDescent="0.25">
      <c r="B18" s="268"/>
      <c r="C18" s="20" t="s">
        <v>33</v>
      </c>
      <c r="D18" s="6" t="s">
        <v>10</v>
      </c>
      <c r="E18" s="108">
        <v>150</v>
      </c>
      <c r="F18" s="30">
        <v>180</v>
      </c>
      <c r="G18" s="21">
        <f>E18*3.63/100</f>
        <v>5.4450000000000003</v>
      </c>
      <c r="H18" s="32">
        <f>F18*3.63/100</f>
        <v>6.5339999999999998</v>
      </c>
      <c r="I18" s="21">
        <f>E18*4.5/100</f>
        <v>6.75</v>
      </c>
      <c r="J18" s="32">
        <f>F18*4.5/100</f>
        <v>8.1</v>
      </c>
      <c r="K18" s="21">
        <f>E18*22.5/100</f>
        <v>33.75</v>
      </c>
      <c r="L18" s="32">
        <f>F18*22.5/100</f>
        <v>40.5</v>
      </c>
      <c r="M18" s="21">
        <f t="shared" ref="M18:N22" si="7">G18*4+I18*9+K18*4</f>
        <v>217.53</v>
      </c>
      <c r="N18" s="34">
        <f t="shared" si="7"/>
        <v>261.036</v>
      </c>
    </row>
    <row r="19" spans="2:18" x14ac:dyDescent="0.25">
      <c r="B19" s="268"/>
      <c r="C19" s="19" t="s">
        <v>151</v>
      </c>
      <c r="D19" s="9" t="s">
        <v>152</v>
      </c>
      <c r="E19" s="93">
        <v>100</v>
      </c>
      <c r="F19" s="30">
        <v>100</v>
      </c>
      <c r="G19" s="21">
        <f>E19*13.3/100</f>
        <v>13.3</v>
      </c>
      <c r="H19" s="32">
        <f>F19*13.3/100</f>
        <v>13.3</v>
      </c>
      <c r="I19" s="21">
        <f>E19*2/100</f>
        <v>2</v>
      </c>
      <c r="J19" s="32">
        <f>F19*2/100</f>
        <v>2</v>
      </c>
      <c r="K19" s="21">
        <f>E19*13/100</f>
        <v>13</v>
      </c>
      <c r="L19" s="32">
        <f>F19*13/100</f>
        <v>13</v>
      </c>
      <c r="M19" s="21">
        <f t="shared" si="7"/>
        <v>123.2</v>
      </c>
      <c r="N19" s="34">
        <f t="shared" si="7"/>
        <v>123.2</v>
      </c>
    </row>
    <row r="20" spans="2:18" x14ac:dyDescent="0.25">
      <c r="B20" s="268"/>
      <c r="C20" s="19" t="s">
        <v>60</v>
      </c>
      <c r="D20" s="9" t="s">
        <v>61</v>
      </c>
      <c r="E20" s="93">
        <v>50</v>
      </c>
      <c r="F20" s="30">
        <v>50</v>
      </c>
      <c r="G20" s="21">
        <f>E20*1.3/50</f>
        <v>1.3</v>
      </c>
      <c r="H20" s="32">
        <f>F20*1.3/50</f>
        <v>1.3</v>
      </c>
      <c r="I20" s="21">
        <f>E20*4.8/50</f>
        <v>4.8</v>
      </c>
      <c r="J20" s="32">
        <f>F20*4.8/50</f>
        <v>4.8</v>
      </c>
      <c r="K20" s="21">
        <f>E20*4.7/50</f>
        <v>4.7</v>
      </c>
      <c r="L20" s="32">
        <f>F20*4.7/50</f>
        <v>4.7</v>
      </c>
      <c r="M20" s="21">
        <f t="shared" si="7"/>
        <v>67.2</v>
      </c>
      <c r="N20" s="34">
        <f t="shared" si="7"/>
        <v>67.2</v>
      </c>
      <c r="R20" s="15" t="s">
        <v>24</v>
      </c>
    </row>
    <row r="21" spans="2:18" x14ac:dyDescent="0.25">
      <c r="B21" s="268"/>
      <c r="C21" s="20" t="s">
        <v>44</v>
      </c>
      <c r="D21" s="6" t="s">
        <v>11</v>
      </c>
      <c r="E21" s="108">
        <v>200</v>
      </c>
      <c r="F21" s="30">
        <v>200</v>
      </c>
      <c r="G21" s="21">
        <f>E21*0.3/200</f>
        <v>0.3</v>
      </c>
      <c r="H21" s="32">
        <f>F21*0.3/200</f>
        <v>0.3</v>
      </c>
      <c r="I21" s="21">
        <f t="shared" ref="I21:J21" si="8">E21*0.1/200</f>
        <v>0.1</v>
      </c>
      <c r="J21" s="32">
        <f t="shared" si="8"/>
        <v>0.1</v>
      </c>
      <c r="K21" s="21">
        <f>E21*9.5/200</f>
        <v>9.5</v>
      </c>
      <c r="L21" s="32">
        <f>F21*9.5/200</f>
        <v>9.5</v>
      </c>
      <c r="M21" s="21">
        <f t="shared" si="7"/>
        <v>40.1</v>
      </c>
      <c r="N21" s="34">
        <f t="shared" si="7"/>
        <v>40.1</v>
      </c>
    </row>
    <row r="22" spans="2:18" x14ac:dyDescent="0.25">
      <c r="B22" s="268"/>
      <c r="C22" s="20" t="s">
        <v>71</v>
      </c>
      <c r="D22" s="6" t="s">
        <v>22</v>
      </c>
      <c r="E22" s="60">
        <v>30</v>
      </c>
      <c r="F22" s="61">
        <v>30</v>
      </c>
      <c r="G22" s="21">
        <f>E22*8/100</f>
        <v>2.4</v>
      </c>
      <c r="H22" s="32">
        <f>F22*8/100</f>
        <v>2.4</v>
      </c>
      <c r="I22" s="21">
        <f>E22*1.5/100</f>
        <v>0.45</v>
      </c>
      <c r="J22" s="32">
        <f>F22*1.5/100</f>
        <v>0.45</v>
      </c>
      <c r="K22" s="21">
        <f>E22*40.1/100</f>
        <v>12.03</v>
      </c>
      <c r="L22" s="32">
        <f>F22*40.1/100</f>
        <v>12.03</v>
      </c>
      <c r="M22" s="21">
        <f t="shared" si="7"/>
        <v>61.769999999999996</v>
      </c>
      <c r="N22" s="34">
        <f t="shared" si="7"/>
        <v>61.769999999999996</v>
      </c>
    </row>
    <row r="23" spans="2:18" x14ac:dyDescent="0.25">
      <c r="B23" s="268"/>
      <c r="C23" s="20" t="s">
        <v>72</v>
      </c>
      <c r="D23" s="6" t="s">
        <v>73</v>
      </c>
      <c r="E23" s="60">
        <v>50</v>
      </c>
      <c r="F23" s="61">
        <v>50</v>
      </c>
      <c r="G23" s="21">
        <f>E23*7.6/100</f>
        <v>3.8</v>
      </c>
      <c r="H23" s="32">
        <f>F23*7.6/100</f>
        <v>3.8</v>
      </c>
      <c r="I23" s="21">
        <f>E23*0.8/100</f>
        <v>0.4</v>
      </c>
      <c r="J23" s="32">
        <f>F23*0.8/100</f>
        <v>0.4</v>
      </c>
      <c r="K23" s="21">
        <f>E23*49.2/100</f>
        <v>24.6</v>
      </c>
      <c r="L23" s="32">
        <f>F23*49.2/100</f>
        <v>24.6</v>
      </c>
      <c r="M23" s="21">
        <f t="shared" ref="M23" si="9">G23*4+I23*9+K23*4</f>
        <v>117.2</v>
      </c>
      <c r="N23" s="34">
        <f t="shared" ref="N23" si="10">H23*4+J23*9+L23*4</f>
        <v>117.2</v>
      </c>
    </row>
    <row r="24" spans="2:18" x14ac:dyDescent="0.25">
      <c r="B24" s="268"/>
      <c r="C24" s="20" t="s">
        <v>269</v>
      </c>
      <c r="D24" s="6" t="s">
        <v>270</v>
      </c>
      <c r="E24" s="165">
        <v>75</v>
      </c>
      <c r="F24" s="166">
        <v>75</v>
      </c>
      <c r="G24" s="167">
        <f>13/100*E24</f>
        <v>9.75</v>
      </c>
      <c r="H24" s="168">
        <f>13/100*F24</f>
        <v>9.75</v>
      </c>
      <c r="I24" s="167">
        <f>4.6/100*E24</f>
        <v>3.4499999999999997</v>
      </c>
      <c r="J24" s="168">
        <f>4.6/100*F24</f>
        <v>3.4499999999999997</v>
      </c>
      <c r="K24" s="167">
        <f>36.15/100*E24</f>
        <v>27.112500000000001</v>
      </c>
      <c r="L24" s="168">
        <f>36.15/100*F24</f>
        <v>27.112500000000001</v>
      </c>
      <c r="M24" s="167">
        <f>4*G24+9*I24+4*K24</f>
        <v>178.5</v>
      </c>
      <c r="N24" s="169">
        <f>4*H24+9*J24+4*L24</f>
        <v>178.5</v>
      </c>
    </row>
    <row r="25" spans="2:18" x14ac:dyDescent="0.25">
      <c r="B25" s="268"/>
      <c r="C25" s="20"/>
      <c r="D25" s="4" t="s">
        <v>14</v>
      </c>
      <c r="E25" s="23">
        <f t="shared" ref="E25:N25" si="11">SUM(E16:E24)</f>
        <v>915</v>
      </c>
      <c r="F25" s="37">
        <f t="shared" si="11"/>
        <v>1035</v>
      </c>
      <c r="G25" s="7">
        <f t="shared" si="11"/>
        <v>42.875</v>
      </c>
      <c r="H25" s="33">
        <f t="shared" si="11"/>
        <v>45.783999999999999</v>
      </c>
      <c r="I25" s="23">
        <f t="shared" si="11"/>
        <v>23.709999999999997</v>
      </c>
      <c r="J25" s="33">
        <f t="shared" si="11"/>
        <v>26.524999999999999</v>
      </c>
      <c r="K25" s="23">
        <f t="shared" si="11"/>
        <v>140.11250000000001</v>
      </c>
      <c r="L25" s="33">
        <f t="shared" si="11"/>
        <v>151.19250000000002</v>
      </c>
      <c r="M25" s="7">
        <f t="shared" si="11"/>
        <v>945.34</v>
      </c>
      <c r="N25" s="35">
        <f t="shared" si="11"/>
        <v>1026.6310000000001</v>
      </c>
    </row>
    <row r="26" spans="2:18" ht="15.75" thickBot="1" x14ac:dyDescent="0.3">
      <c r="B26" s="269"/>
      <c r="C26" s="24"/>
      <c r="D26" s="16" t="s">
        <v>12</v>
      </c>
      <c r="E26" s="17"/>
      <c r="F26" s="38"/>
      <c r="G26" s="18">
        <f t="shared" ref="G26:N26" si="12">G14+G25</f>
        <v>58.024999999999999</v>
      </c>
      <c r="H26" s="39">
        <f t="shared" si="12"/>
        <v>62.094000000000001</v>
      </c>
      <c r="I26" s="18">
        <f t="shared" si="12"/>
        <v>37.03</v>
      </c>
      <c r="J26" s="39">
        <f t="shared" si="12"/>
        <v>41.32</v>
      </c>
      <c r="K26" s="18">
        <f t="shared" si="12"/>
        <v>215.49250000000001</v>
      </c>
      <c r="L26" s="39">
        <f t="shared" si="12"/>
        <v>226.57250000000005</v>
      </c>
      <c r="M26" s="18">
        <f t="shared" si="12"/>
        <v>1427.3400000000001</v>
      </c>
      <c r="N26" s="41">
        <f t="shared" si="12"/>
        <v>1526.5460000000003</v>
      </c>
    </row>
    <row r="27" spans="2:18" x14ac:dyDescent="0.25">
      <c r="B27" s="267" t="s">
        <v>155</v>
      </c>
      <c r="C27" s="238" t="s">
        <v>8</v>
      </c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40"/>
    </row>
    <row r="28" spans="2:18" x14ac:dyDescent="0.25">
      <c r="B28" s="268"/>
      <c r="C28" s="19" t="s">
        <v>59</v>
      </c>
      <c r="D28" s="8" t="s">
        <v>57</v>
      </c>
      <c r="E28" s="108">
        <v>200</v>
      </c>
      <c r="F28" s="29">
        <v>200</v>
      </c>
      <c r="G28" s="21">
        <f>E28*3.63/100</f>
        <v>7.26</v>
      </c>
      <c r="H28" s="32">
        <f>F28*3.63/100</f>
        <v>7.26</v>
      </c>
      <c r="I28" s="21">
        <f>E28*3.62/100</f>
        <v>7.24</v>
      </c>
      <c r="J28" s="32">
        <f>F28*3.62/100</f>
        <v>7.24</v>
      </c>
      <c r="K28" s="21">
        <f>E28*17.42/100</f>
        <v>34.840000000000003</v>
      </c>
      <c r="L28" s="32">
        <f>F28*17.42/100</f>
        <v>34.840000000000003</v>
      </c>
      <c r="M28" s="21">
        <f t="shared" ref="M28:N33" si="13">G28*4+I28*9+K28*4</f>
        <v>233.56</v>
      </c>
      <c r="N28" s="34">
        <f t="shared" si="13"/>
        <v>233.56</v>
      </c>
    </row>
    <row r="29" spans="2:18" x14ac:dyDescent="0.25">
      <c r="B29" s="268"/>
      <c r="C29" s="89" t="s">
        <v>111</v>
      </c>
      <c r="D29" s="90" t="s">
        <v>112</v>
      </c>
      <c r="E29" s="108">
        <v>10</v>
      </c>
      <c r="F29" s="88">
        <v>15</v>
      </c>
      <c r="G29" s="21">
        <f>E29*0.8/100</f>
        <v>0.08</v>
      </c>
      <c r="H29" s="32">
        <f>F29*0.8/100</f>
        <v>0.12</v>
      </c>
      <c r="I29" s="21">
        <f>E29*72.5/100</f>
        <v>7.25</v>
      </c>
      <c r="J29" s="32">
        <f>F29*72.5/100</f>
        <v>10.875</v>
      </c>
      <c r="K29" s="21">
        <f>E29*1.3/100</f>
        <v>0.13</v>
      </c>
      <c r="L29" s="32">
        <f>F29*1.3/100</f>
        <v>0.19500000000000001</v>
      </c>
      <c r="M29" s="21">
        <f t="shared" si="13"/>
        <v>66.089999999999989</v>
      </c>
      <c r="N29" s="34">
        <f t="shared" si="13"/>
        <v>99.135000000000005</v>
      </c>
    </row>
    <row r="30" spans="2:18" x14ac:dyDescent="0.25">
      <c r="B30" s="268"/>
      <c r="C30" s="19" t="s">
        <v>45</v>
      </c>
      <c r="D30" s="9" t="s">
        <v>16</v>
      </c>
      <c r="E30" s="108">
        <v>200</v>
      </c>
      <c r="F30" s="30">
        <v>200</v>
      </c>
      <c r="G30" s="21">
        <f>E30*0.2/200</f>
        <v>0.2</v>
      </c>
      <c r="H30" s="32">
        <f>F30*0.2/200</f>
        <v>0.2</v>
      </c>
      <c r="I30" s="21">
        <f t="shared" ref="I30" si="14">E30*0.1/200</f>
        <v>0.1</v>
      </c>
      <c r="J30" s="32">
        <f t="shared" ref="J30" si="15">F30*0.1/200</f>
        <v>0.1</v>
      </c>
      <c r="K30" s="21">
        <f>E30*9.3/200</f>
        <v>9.3000000000000007</v>
      </c>
      <c r="L30" s="32">
        <f>F30*9.3/200</f>
        <v>9.3000000000000007</v>
      </c>
      <c r="M30" s="21">
        <f t="shared" ref="M30" si="16">G30*4+I30*9+K30*4</f>
        <v>38.900000000000006</v>
      </c>
      <c r="N30" s="34">
        <f t="shared" ref="N30" si="17">H30*4+J30*9+L30*4</f>
        <v>38.900000000000006</v>
      </c>
    </row>
    <row r="31" spans="2:18" x14ac:dyDescent="0.25">
      <c r="B31" s="268"/>
      <c r="C31" s="20" t="s">
        <v>126</v>
      </c>
      <c r="D31" s="95" t="s">
        <v>127</v>
      </c>
      <c r="E31" s="60">
        <v>20</v>
      </c>
      <c r="F31" s="61">
        <v>30</v>
      </c>
      <c r="G31" s="96">
        <f>E31*7.5/100</f>
        <v>1.5</v>
      </c>
      <c r="H31" s="43">
        <f>F31*7.5/100</f>
        <v>2.25</v>
      </c>
      <c r="I31" s="97">
        <f>E31*2.9/100</f>
        <v>0.57999999999999996</v>
      </c>
      <c r="J31" s="32">
        <f>F31*2.9/100</f>
        <v>0.87</v>
      </c>
      <c r="K31" s="97">
        <f>E31*51.4/100</f>
        <v>10.28</v>
      </c>
      <c r="L31" s="32">
        <f>F31*51.4/100</f>
        <v>15.42</v>
      </c>
      <c r="M31" s="97">
        <f t="shared" ref="M31:M32" si="18">G31*4+I31*9+K31*4</f>
        <v>52.339999999999996</v>
      </c>
      <c r="N31" s="34">
        <f t="shared" ref="N31:N32" si="19">H31*4+J31*9+L31*4</f>
        <v>78.509999999999991</v>
      </c>
    </row>
    <row r="32" spans="2:18" x14ac:dyDescent="0.25">
      <c r="B32" s="268"/>
      <c r="C32" s="20" t="s">
        <v>72</v>
      </c>
      <c r="D32" s="6" t="s">
        <v>73</v>
      </c>
      <c r="E32" s="60">
        <v>30</v>
      </c>
      <c r="F32" s="61">
        <v>30</v>
      </c>
      <c r="G32" s="21">
        <f>E32*7.6/100</f>
        <v>2.2799999999999998</v>
      </c>
      <c r="H32" s="32">
        <f>F32*7.6/100</f>
        <v>2.2799999999999998</v>
      </c>
      <c r="I32" s="21">
        <f>E32*0.8/100</f>
        <v>0.24</v>
      </c>
      <c r="J32" s="32">
        <f>F32*0.8/100</f>
        <v>0.24</v>
      </c>
      <c r="K32" s="21">
        <f>E32*49.2/100</f>
        <v>14.76</v>
      </c>
      <c r="L32" s="32">
        <f>F32*49.2/100</f>
        <v>14.76</v>
      </c>
      <c r="M32" s="21">
        <f t="shared" si="18"/>
        <v>70.319999999999993</v>
      </c>
      <c r="N32" s="34">
        <f t="shared" si="19"/>
        <v>70.319999999999993</v>
      </c>
    </row>
    <row r="33" spans="2:14" x14ac:dyDescent="0.25">
      <c r="B33" s="268"/>
      <c r="C33" s="25"/>
      <c r="D33" s="4" t="s">
        <v>13</v>
      </c>
      <c r="E33" s="23">
        <f t="shared" ref="E33:L33" si="20">SUM(E28:E32)</f>
        <v>460</v>
      </c>
      <c r="F33" s="31">
        <f t="shared" si="20"/>
        <v>475</v>
      </c>
      <c r="G33" s="7">
        <f t="shared" si="20"/>
        <v>11.319999999999999</v>
      </c>
      <c r="H33" s="33">
        <f t="shared" si="20"/>
        <v>12.11</v>
      </c>
      <c r="I33" s="7">
        <f t="shared" si="20"/>
        <v>15.41</v>
      </c>
      <c r="J33" s="33">
        <f t="shared" si="20"/>
        <v>19.325000000000003</v>
      </c>
      <c r="K33" s="7">
        <f t="shared" si="20"/>
        <v>69.310000000000016</v>
      </c>
      <c r="L33" s="33">
        <f t="shared" si="20"/>
        <v>74.515000000000015</v>
      </c>
      <c r="M33" s="7">
        <f t="shared" si="13"/>
        <v>461.21000000000004</v>
      </c>
      <c r="N33" s="35">
        <f t="shared" si="13"/>
        <v>520.42500000000007</v>
      </c>
    </row>
    <row r="34" spans="2:14" x14ac:dyDescent="0.25">
      <c r="B34" s="268"/>
      <c r="C34" s="273" t="s">
        <v>9</v>
      </c>
      <c r="D34" s="274"/>
      <c r="E34" s="274"/>
      <c r="F34" s="274"/>
      <c r="G34" s="274"/>
      <c r="H34" s="274"/>
      <c r="I34" s="274"/>
      <c r="J34" s="274"/>
      <c r="K34" s="274"/>
      <c r="L34" s="274"/>
      <c r="M34" s="274"/>
      <c r="N34" s="275"/>
    </row>
    <row r="35" spans="2:14" x14ac:dyDescent="0.25">
      <c r="B35" s="268"/>
      <c r="C35" s="19" t="s">
        <v>242</v>
      </c>
      <c r="D35" s="9" t="s">
        <v>243</v>
      </c>
      <c r="E35" s="108">
        <v>60</v>
      </c>
      <c r="F35" s="36">
        <v>100</v>
      </c>
      <c r="G35" s="21">
        <f>E35*1.1/100</f>
        <v>0.66</v>
      </c>
      <c r="H35" s="32">
        <f>F35*1.1/100</f>
        <v>1.1000000000000001</v>
      </c>
      <c r="I35" s="21">
        <f>E35*0.2/100</f>
        <v>0.12</v>
      </c>
      <c r="J35" s="32">
        <f>F35*0.2/100</f>
        <v>0.2</v>
      </c>
      <c r="K35" s="21">
        <f>E35*3.8/100</f>
        <v>2.2799999999999998</v>
      </c>
      <c r="L35" s="32">
        <f>F35*3.8/100</f>
        <v>3.8</v>
      </c>
      <c r="M35" s="22">
        <f t="shared" ref="M35:N35" si="21">G35*4+I35*9+K35*4</f>
        <v>12.84</v>
      </c>
      <c r="N35" s="40">
        <f t="shared" si="21"/>
        <v>21.4</v>
      </c>
    </row>
    <row r="36" spans="2:14" x14ac:dyDescent="0.25">
      <c r="B36" s="268"/>
      <c r="C36" s="19" t="s">
        <v>65</v>
      </c>
      <c r="D36" s="142" t="s">
        <v>66</v>
      </c>
      <c r="E36" s="108">
        <v>200</v>
      </c>
      <c r="F36" s="36">
        <v>250</v>
      </c>
      <c r="G36" s="21">
        <f>E36*1.8/100</f>
        <v>3.6</v>
      </c>
      <c r="H36" s="32">
        <f>F36*1.8/100</f>
        <v>4.5</v>
      </c>
      <c r="I36" s="21">
        <f>E36*2.89/100</f>
        <v>5.78</v>
      </c>
      <c r="J36" s="32">
        <f>F36*2.89/100</f>
        <v>7.2249999999999996</v>
      </c>
      <c r="K36" s="21">
        <f>E36*3.62/100</f>
        <v>7.24</v>
      </c>
      <c r="L36" s="32">
        <f>F36*3.62/100</f>
        <v>9.0500000000000007</v>
      </c>
      <c r="M36" s="21">
        <f t="shared" ref="M36:N43" si="22">G36*4+I36*9+K36*4</f>
        <v>95.38</v>
      </c>
      <c r="N36" s="34">
        <f>H36*4+J36*9+L36*4</f>
        <v>119.22499999999999</v>
      </c>
    </row>
    <row r="37" spans="2:14" x14ac:dyDescent="0.25">
      <c r="B37" s="268"/>
      <c r="C37" s="19" t="s">
        <v>19</v>
      </c>
      <c r="D37" s="9" t="s">
        <v>20</v>
      </c>
      <c r="E37" s="108">
        <v>150</v>
      </c>
      <c r="F37" s="30">
        <v>180</v>
      </c>
      <c r="G37" s="21">
        <f>E37*2.1/100</f>
        <v>3.15</v>
      </c>
      <c r="H37" s="32">
        <f>F37*2.1/100</f>
        <v>3.78</v>
      </c>
      <c r="I37" s="21">
        <f>E37*3.5/100</f>
        <v>5.25</v>
      </c>
      <c r="J37" s="32">
        <f>F37*3.5/100</f>
        <v>6.3</v>
      </c>
      <c r="K37" s="21">
        <f>E37*14.6/100</f>
        <v>21.9</v>
      </c>
      <c r="L37" s="32">
        <f>F37*14.6/100</f>
        <v>26.28</v>
      </c>
      <c r="M37" s="21">
        <f t="shared" si="22"/>
        <v>147.44999999999999</v>
      </c>
      <c r="N37" s="34">
        <f t="shared" si="22"/>
        <v>176.94</v>
      </c>
    </row>
    <row r="38" spans="2:14" x14ac:dyDescent="0.25">
      <c r="B38" s="268"/>
      <c r="C38" s="19" t="s">
        <v>156</v>
      </c>
      <c r="D38" s="9" t="s">
        <v>157</v>
      </c>
      <c r="E38" s="108">
        <v>100</v>
      </c>
      <c r="F38" s="30">
        <v>100</v>
      </c>
      <c r="G38" s="21">
        <f>E38*18.7/100</f>
        <v>18.7</v>
      </c>
      <c r="H38" s="32">
        <f>F38*18.7/100</f>
        <v>18.7</v>
      </c>
      <c r="I38" s="21">
        <f>E38*15.3/100</f>
        <v>15.3</v>
      </c>
      <c r="J38" s="32">
        <f>F38*15.3/100</f>
        <v>15.3</v>
      </c>
      <c r="K38" s="21">
        <f>E38*0.6/100</f>
        <v>0.6</v>
      </c>
      <c r="L38" s="32">
        <f>F38*0.6/100</f>
        <v>0.6</v>
      </c>
      <c r="M38" s="21">
        <f t="shared" si="22"/>
        <v>214.9</v>
      </c>
      <c r="N38" s="34">
        <f t="shared" si="22"/>
        <v>214.9</v>
      </c>
    </row>
    <row r="39" spans="2:14" x14ac:dyDescent="0.25">
      <c r="B39" s="268"/>
      <c r="C39" s="19" t="s">
        <v>60</v>
      </c>
      <c r="D39" s="9" t="s">
        <v>61</v>
      </c>
      <c r="E39" s="108">
        <v>50</v>
      </c>
      <c r="F39" s="30">
        <v>50</v>
      </c>
      <c r="G39" s="21">
        <f>E39*1.3/50</f>
        <v>1.3</v>
      </c>
      <c r="H39" s="32">
        <f>F39*1.3/50</f>
        <v>1.3</v>
      </c>
      <c r="I39" s="21">
        <f>E39*4.8/50</f>
        <v>4.8</v>
      </c>
      <c r="J39" s="32">
        <f>F39*4.8/50</f>
        <v>4.8</v>
      </c>
      <c r="K39" s="21">
        <f>E39*4.7/50</f>
        <v>4.7</v>
      </c>
      <c r="L39" s="32">
        <f>F39*4.7/50</f>
        <v>4.7</v>
      </c>
      <c r="M39" s="21">
        <f t="shared" si="22"/>
        <v>67.2</v>
      </c>
      <c r="N39" s="34">
        <f t="shared" si="22"/>
        <v>67.2</v>
      </c>
    </row>
    <row r="40" spans="2:14" x14ac:dyDescent="0.25">
      <c r="B40" s="268"/>
      <c r="C40" s="19" t="s">
        <v>46</v>
      </c>
      <c r="D40" s="9" t="s">
        <v>47</v>
      </c>
      <c r="E40" s="108">
        <v>200</v>
      </c>
      <c r="F40" s="30">
        <v>200</v>
      </c>
      <c r="G40" s="21">
        <f>E40*0.6/200</f>
        <v>0.6</v>
      </c>
      <c r="H40" s="32">
        <f>F40*0.6/200</f>
        <v>0.6</v>
      </c>
      <c r="I40" s="21">
        <f t="shared" ref="I40:J40" si="23">E40*0.1/200</f>
        <v>0.1</v>
      </c>
      <c r="J40" s="32">
        <f t="shared" si="23"/>
        <v>0.1</v>
      </c>
      <c r="K40" s="21">
        <f>E40*20.1/200</f>
        <v>20.100000000000001</v>
      </c>
      <c r="L40" s="32">
        <f>F40*20.1/200</f>
        <v>20.100000000000001</v>
      </c>
      <c r="M40" s="21">
        <f t="shared" si="22"/>
        <v>83.7</v>
      </c>
      <c r="N40" s="34">
        <f t="shared" si="22"/>
        <v>83.7</v>
      </c>
    </row>
    <row r="41" spans="2:14" x14ac:dyDescent="0.25">
      <c r="B41" s="268"/>
      <c r="C41" s="20" t="s">
        <v>71</v>
      </c>
      <c r="D41" s="6" t="s">
        <v>22</v>
      </c>
      <c r="E41" s="60">
        <v>30</v>
      </c>
      <c r="F41" s="61">
        <v>30</v>
      </c>
      <c r="G41" s="21">
        <f>E41*8/100</f>
        <v>2.4</v>
      </c>
      <c r="H41" s="32">
        <f>F41*8/100</f>
        <v>2.4</v>
      </c>
      <c r="I41" s="21">
        <f>E41*1.5/100</f>
        <v>0.45</v>
      </c>
      <c r="J41" s="32">
        <f>F41*1.5/100</f>
        <v>0.45</v>
      </c>
      <c r="K41" s="21">
        <f>E41*40.1/100</f>
        <v>12.03</v>
      </c>
      <c r="L41" s="32">
        <f>F41*40.1/100</f>
        <v>12.03</v>
      </c>
      <c r="M41" s="21">
        <f t="shared" si="22"/>
        <v>61.769999999999996</v>
      </c>
      <c r="N41" s="34">
        <f t="shared" si="22"/>
        <v>61.769999999999996</v>
      </c>
    </row>
    <row r="42" spans="2:14" x14ac:dyDescent="0.25">
      <c r="B42" s="268"/>
      <c r="C42" s="20" t="s">
        <v>72</v>
      </c>
      <c r="D42" s="6" t="s">
        <v>73</v>
      </c>
      <c r="E42" s="60">
        <v>40</v>
      </c>
      <c r="F42" s="61">
        <v>40</v>
      </c>
      <c r="G42" s="21">
        <f>E42*7.6/100</f>
        <v>3.04</v>
      </c>
      <c r="H42" s="32">
        <f>F42*7.6/100</f>
        <v>3.04</v>
      </c>
      <c r="I42" s="21">
        <f>E42*0.8/100</f>
        <v>0.32</v>
      </c>
      <c r="J42" s="32">
        <f>F42*0.8/100</f>
        <v>0.32</v>
      </c>
      <c r="K42" s="21">
        <f>E42*49.2/100</f>
        <v>19.68</v>
      </c>
      <c r="L42" s="32">
        <f>F42*49.2/100</f>
        <v>19.68</v>
      </c>
      <c r="M42" s="21">
        <f t="shared" si="22"/>
        <v>93.759999999999991</v>
      </c>
      <c r="N42" s="34">
        <f t="shared" si="22"/>
        <v>93.759999999999991</v>
      </c>
    </row>
    <row r="43" spans="2:14" x14ac:dyDescent="0.25">
      <c r="B43" s="268"/>
      <c r="C43" s="20" t="s">
        <v>215</v>
      </c>
      <c r="D43" s="6" t="s">
        <v>216</v>
      </c>
      <c r="E43" s="108">
        <v>200</v>
      </c>
      <c r="F43" s="30">
        <v>200</v>
      </c>
      <c r="G43" s="21">
        <f>E43*0.5/100</f>
        <v>1</v>
      </c>
      <c r="H43" s="32">
        <f>F43*0.5/100</f>
        <v>1</v>
      </c>
      <c r="I43" s="21">
        <f>E43*0.1/100</f>
        <v>0.2</v>
      </c>
      <c r="J43" s="32">
        <f>F43*0.1/100</f>
        <v>0.2</v>
      </c>
      <c r="K43" s="21">
        <f>E43*10.1/100</f>
        <v>20.2</v>
      </c>
      <c r="L43" s="32">
        <f>F43*10.1/100</f>
        <v>20.2</v>
      </c>
      <c r="M43" s="21">
        <f t="shared" si="22"/>
        <v>86.6</v>
      </c>
      <c r="N43" s="34">
        <f t="shared" si="22"/>
        <v>86.6</v>
      </c>
    </row>
    <row r="44" spans="2:14" x14ac:dyDescent="0.25">
      <c r="B44" s="268"/>
      <c r="C44" s="20"/>
      <c r="D44" s="4" t="s">
        <v>14</v>
      </c>
      <c r="E44" s="23">
        <f>SUM(E35:E43)</f>
        <v>1030</v>
      </c>
      <c r="F44" s="135">
        <f t="shared" ref="F44:N44" si="24">SUM(F35:F43)</f>
        <v>1150</v>
      </c>
      <c r="G44" s="7">
        <f t="shared" si="24"/>
        <v>34.450000000000003</v>
      </c>
      <c r="H44" s="33">
        <f>SUM(H35:H43)</f>
        <v>36.42</v>
      </c>
      <c r="I44" s="7">
        <f t="shared" si="24"/>
        <v>32.320000000000007</v>
      </c>
      <c r="J44" s="33">
        <f t="shared" si="24"/>
        <v>34.895000000000003</v>
      </c>
      <c r="K44" s="7">
        <f t="shared" si="24"/>
        <v>108.73</v>
      </c>
      <c r="L44" s="33">
        <f t="shared" si="24"/>
        <v>116.44000000000001</v>
      </c>
      <c r="M44" s="7">
        <f t="shared" si="24"/>
        <v>863.6</v>
      </c>
      <c r="N44" s="35">
        <f t="shared" si="24"/>
        <v>925.49500000000012</v>
      </c>
    </row>
    <row r="45" spans="2:14" ht="15.75" thickBot="1" x14ac:dyDescent="0.3">
      <c r="B45" s="269"/>
      <c r="C45" s="24"/>
      <c r="D45" s="16" t="s">
        <v>12</v>
      </c>
      <c r="E45" s="17"/>
      <c r="F45" s="38"/>
      <c r="G45" s="18">
        <f t="shared" ref="G45:N45" si="25">G33+G44</f>
        <v>45.77</v>
      </c>
      <c r="H45" s="39">
        <f t="shared" si="25"/>
        <v>48.53</v>
      </c>
      <c r="I45" s="18">
        <f t="shared" si="25"/>
        <v>47.730000000000004</v>
      </c>
      <c r="J45" s="39">
        <f t="shared" si="25"/>
        <v>54.220000000000006</v>
      </c>
      <c r="K45" s="18">
        <f t="shared" si="25"/>
        <v>178.04000000000002</v>
      </c>
      <c r="L45" s="39">
        <f t="shared" si="25"/>
        <v>190.95500000000004</v>
      </c>
      <c r="M45" s="18">
        <f t="shared" si="25"/>
        <v>1324.81</v>
      </c>
      <c r="N45" s="41">
        <f t="shared" si="25"/>
        <v>1445.92</v>
      </c>
    </row>
    <row r="46" spans="2:14" x14ac:dyDescent="0.25">
      <c r="B46" s="270" t="s">
        <v>160</v>
      </c>
      <c r="C46" s="235" t="s">
        <v>8</v>
      </c>
      <c r="D46" s="236"/>
      <c r="E46" s="236"/>
      <c r="F46" s="236"/>
      <c r="G46" s="236"/>
      <c r="H46" s="236"/>
      <c r="I46" s="236"/>
      <c r="J46" s="236"/>
      <c r="K46" s="236"/>
      <c r="L46" s="236"/>
      <c r="M46" s="236"/>
      <c r="N46" s="237"/>
    </row>
    <row r="47" spans="2:14" x14ac:dyDescent="0.25">
      <c r="B47" s="271"/>
      <c r="C47" s="20" t="s">
        <v>161</v>
      </c>
      <c r="D47" s="8" t="s">
        <v>144</v>
      </c>
      <c r="E47" s="108">
        <v>200</v>
      </c>
      <c r="F47" s="29">
        <v>200</v>
      </c>
      <c r="G47" s="21">
        <f>E47*4.35/100</f>
        <v>8.6999999999999993</v>
      </c>
      <c r="H47" s="32">
        <f>F47*4.35/100</f>
        <v>8.6999999999999993</v>
      </c>
      <c r="I47" s="21">
        <f>E47*3.74/100</f>
        <v>7.48</v>
      </c>
      <c r="J47" s="32">
        <f>F47*3.74/100</f>
        <v>7.48</v>
      </c>
      <c r="K47" s="21">
        <f>E47*15.7/100</f>
        <v>31.4</v>
      </c>
      <c r="L47" s="32">
        <f>F47*15.7/100</f>
        <v>31.4</v>
      </c>
      <c r="M47" s="21">
        <f t="shared" ref="M47:N51" si="26">G47*4+I47*9+K47*4</f>
        <v>227.72</v>
      </c>
      <c r="N47" s="34">
        <f t="shared" si="26"/>
        <v>227.72</v>
      </c>
    </row>
    <row r="48" spans="2:14" x14ac:dyDescent="0.25">
      <c r="B48" s="271"/>
      <c r="C48" s="19" t="s">
        <v>162</v>
      </c>
      <c r="D48" s="8" t="s">
        <v>163</v>
      </c>
      <c r="E48" s="108">
        <v>50</v>
      </c>
      <c r="F48" s="29">
        <v>50</v>
      </c>
      <c r="G48" s="21">
        <f>E48*12.7/100</f>
        <v>6.35</v>
      </c>
      <c r="H48" s="32">
        <f>F48*12.7/100</f>
        <v>6.35</v>
      </c>
      <c r="I48" s="21">
        <f>E48*11.5/100</f>
        <v>5.75</v>
      </c>
      <c r="J48" s="32">
        <f>F48*11.5/100</f>
        <v>5.75</v>
      </c>
      <c r="K48" s="21">
        <f>E48*0.07/100</f>
        <v>3.5000000000000003E-2</v>
      </c>
      <c r="L48" s="32">
        <f>F48*0.07/100</f>
        <v>3.5000000000000003E-2</v>
      </c>
      <c r="M48" s="21">
        <f t="shared" si="26"/>
        <v>77.290000000000006</v>
      </c>
      <c r="N48" s="34">
        <f t="shared" si="26"/>
        <v>77.290000000000006</v>
      </c>
    </row>
    <row r="49" spans="2:14" x14ac:dyDescent="0.25">
      <c r="B49" s="271"/>
      <c r="C49" s="19" t="s">
        <v>55</v>
      </c>
      <c r="D49" s="9" t="s">
        <v>56</v>
      </c>
      <c r="E49" s="108">
        <v>200</v>
      </c>
      <c r="F49" s="30">
        <v>200</v>
      </c>
      <c r="G49" s="21">
        <f>E49*1.65/100</f>
        <v>3.3</v>
      </c>
      <c r="H49" s="32">
        <f>F49*1.65/100</f>
        <v>3.3</v>
      </c>
      <c r="I49" s="21">
        <f>E49*1.45/100</f>
        <v>2.9</v>
      </c>
      <c r="J49" s="32">
        <f>F49*1.45/100</f>
        <v>2.9</v>
      </c>
      <c r="K49" s="21">
        <f>E49*6.9/100</f>
        <v>13.8</v>
      </c>
      <c r="L49" s="32">
        <f>F49*6.9/100</f>
        <v>13.8</v>
      </c>
      <c r="M49" s="21">
        <f t="shared" ref="M49:M50" si="27">G49*4+I49*9+K49*4</f>
        <v>94.5</v>
      </c>
      <c r="N49" s="34">
        <f t="shared" ref="N49:N50" si="28">H49*4+J49*9+L49*4</f>
        <v>94.5</v>
      </c>
    </row>
    <row r="50" spans="2:14" x14ac:dyDescent="0.25">
      <c r="B50" s="271"/>
      <c r="C50" s="20" t="s">
        <v>72</v>
      </c>
      <c r="D50" s="6" t="s">
        <v>73</v>
      </c>
      <c r="E50" s="60">
        <v>30</v>
      </c>
      <c r="F50" s="61">
        <v>30</v>
      </c>
      <c r="G50" s="21">
        <f>E50*7.6/100</f>
        <v>2.2799999999999998</v>
      </c>
      <c r="H50" s="32">
        <f>F50*7.6/100</f>
        <v>2.2799999999999998</v>
      </c>
      <c r="I50" s="21">
        <f>E50*0.8/100</f>
        <v>0.24</v>
      </c>
      <c r="J50" s="32">
        <f>F50*0.8/100</f>
        <v>0.24</v>
      </c>
      <c r="K50" s="21">
        <f>E50*49.2/100</f>
        <v>14.76</v>
      </c>
      <c r="L50" s="32">
        <f>F50*49.2/100</f>
        <v>14.76</v>
      </c>
      <c r="M50" s="21">
        <f t="shared" si="27"/>
        <v>70.319999999999993</v>
      </c>
      <c r="N50" s="34">
        <f t="shared" si="28"/>
        <v>70.319999999999993</v>
      </c>
    </row>
    <row r="51" spans="2:14" x14ac:dyDescent="0.25">
      <c r="B51" s="271"/>
      <c r="C51" s="25"/>
      <c r="D51" s="4" t="s">
        <v>13</v>
      </c>
      <c r="E51" s="23">
        <f t="shared" ref="E51:L51" si="29">SUM(E47:E50)</f>
        <v>480</v>
      </c>
      <c r="F51" s="31">
        <f t="shared" si="29"/>
        <v>480</v>
      </c>
      <c r="G51" s="7">
        <f t="shared" si="29"/>
        <v>20.63</v>
      </c>
      <c r="H51" s="33">
        <f t="shared" si="29"/>
        <v>20.63</v>
      </c>
      <c r="I51" s="7">
        <f t="shared" si="29"/>
        <v>16.369999999999997</v>
      </c>
      <c r="J51" s="33">
        <f t="shared" si="29"/>
        <v>16.369999999999997</v>
      </c>
      <c r="K51" s="7">
        <f t="shared" si="29"/>
        <v>59.994999999999997</v>
      </c>
      <c r="L51" s="33">
        <f t="shared" si="29"/>
        <v>59.994999999999997</v>
      </c>
      <c r="M51" s="7">
        <f t="shared" si="26"/>
        <v>469.82999999999993</v>
      </c>
      <c r="N51" s="35">
        <f t="shared" si="26"/>
        <v>469.82999999999993</v>
      </c>
    </row>
    <row r="52" spans="2:14" x14ac:dyDescent="0.25">
      <c r="B52" s="271"/>
      <c r="C52" s="273" t="s">
        <v>9</v>
      </c>
      <c r="D52" s="274"/>
      <c r="E52" s="274"/>
      <c r="F52" s="274"/>
      <c r="G52" s="274"/>
      <c r="H52" s="274"/>
      <c r="I52" s="274"/>
      <c r="J52" s="274"/>
      <c r="K52" s="274"/>
      <c r="L52" s="274"/>
      <c r="M52" s="274"/>
      <c r="N52" s="275"/>
    </row>
    <row r="53" spans="2:14" x14ac:dyDescent="0.25">
      <c r="B53" s="271"/>
      <c r="C53" s="19" t="s">
        <v>18</v>
      </c>
      <c r="D53" s="142" t="s">
        <v>75</v>
      </c>
      <c r="E53" s="124">
        <v>200</v>
      </c>
      <c r="F53" s="42">
        <v>250</v>
      </c>
      <c r="G53" s="22">
        <f>E53*2.12/100</f>
        <v>4.24</v>
      </c>
      <c r="H53" s="43">
        <f>F53*2.12/100</f>
        <v>5.3</v>
      </c>
      <c r="I53" s="22">
        <f>E53*2.78/100</f>
        <v>5.56</v>
      </c>
      <c r="J53" s="43">
        <f>F53*2.78/100</f>
        <v>6.95</v>
      </c>
      <c r="K53" s="22">
        <f>E53*7.5/100</f>
        <v>15</v>
      </c>
      <c r="L53" s="43">
        <f>F53*7.5/100</f>
        <v>18.75</v>
      </c>
      <c r="M53" s="22">
        <f t="shared" ref="M53:N59" si="30">G53*4+I53*9+K53*4</f>
        <v>127</v>
      </c>
      <c r="N53" s="40">
        <f t="shared" si="30"/>
        <v>158.75</v>
      </c>
    </row>
    <row r="54" spans="2:14" x14ac:dyDescent="0.25">
      <c r="B54" s="271"/>
      <c r="C54" s="20" t="s">
        <v>164</v>
      </c>
      <c r="D54" s="6" t="s">
        <v>165</v>
      </c>
      <c r="E54" s="108">
        <v>150</v>
      </c>
      <c r="F54" s="30">
        <v>180</v>
      </c>
      <c r="G54" s="21">
        <f>E54*2.5/100</f>
        <v>3.75</v>
      </c>
      <c r="H54" s="32">
        <f>F54*2.5/100</f>
        <v>4.5</v>
      </c>
      <c r="I54" s="21">
        <f>E54*4.6/100</f>
        <v>6.9</v>
      </c>
      <c r="J54" s="32">
        <f>F54*4.6/100</f>
        <v>8.2799999999999994</v>
      </c>
      <c r="K54" s="21">
        <f>E54*10.7/100</f>
        <v>16.05</v>
      </c>
      <c r="L54" s="32">
        <f>F54*10.7/100</f>
        <v>19.259999999999998</v>
      </c>
      <c r="M54" s="21">
        <f t="shared" si="30"/>
        <v>141.30000000000001</v>
      </c>
      <c r="N54" s="34">
        <f t="shared" si="30"/>
        <v>169.56</v>
      </c>
    </row>
    <row r="55" spans="2:14" x14ac:dyDescent="0.25">
      <c r="B55" s="271"/>
      <c r="C55" s="125" t="s">
        <v>77</v>
      </c>
      <c r="D55" s="50" t="s">
        <v>78</v>
      </c>
      <c r="E55" s="108">
        <v>100</v>
      </c>
      <c r="F55" s="30">
        <v>100</v>
      </c>
      <c r="G55" s="21">
        <f>E55*15.9/100</f>
        <v>15.9</v>
      </c>
      <c r="H55" s="32">
        <f>F55*15.9/100</f>
        <v>15.9</v>
      </c>
      <c r="I55" s="21">
        <f>E55*14.4/100</f>
        <v>14.4</v>
      </c>
      <c r="J55" s="32">
        <f>F55*14.4/100</f>
        <v>14.4</v>
      </c>
      <c r="K55" s="21">
        <f>E55*16/100</f>
        <v>16</v>
      </c>
      <c r="L55" s="32">
        <f>F55*16/100</f>
        <v>16</v>
      </c>
      <c r="M55" s="21">
        <f t="shared" si="30"/>
        <v>257.2</v>
      </c>
      <c r="N55" s="34">
        <f t="shared" si="30"/>
        <v>257.2</v>
      </c>
    </row>
    <row r="56" spans="2:14" x14ac:dyDescent="0.25">
      <c r="B56" s="271"/>
      <c r="C56" s="19" t="s">
        <v>45</v>
      </c>
      <c r="D56" s="9" t="s">
        <v>166</v>
      </c>
      <c r="E56" s="108">
        <v>200</v>
      </c>
      <c r="F56" s="30">
        <v>200</v>
      </c>
      <c r="G56" s="21">
        <f>E56*0.2/200</f>
        <v>0.2</v>
      </c>
      <c r="H56" s="32">
        <f>F56*0.2/200</f>
        <v>0.2</v>
      </c>
      <c r="I56" s="21">
        <f t="shared" ref="I56:J56" si="31">E56*0.1/200</f>
        <v>0.1</v>
      </c>
      <c r="J56" s="32">
        <f t="shared" si="31"/>
        <v>0.1</v>
      </c>
      <c r="K56" s="21">
        <f>E56*9.3/200</f>
        <v>9.3000000000000007</v>
      </c>
      <c r="L56" s="32">
        <f>F56*9.3/200</f>
        <v>9.3000000000000007</v>
      </c>
      <c r="M56" s="21">
        <f t="shared" si="30"/>
        <v>38.900000000000006</v>
      </c>
      <c r="N56" s="34">
        <f t="shared" si="30"/>
        <v>38.900000000000006</v>
      </c>
    </row>
    <row r="57" spans="2:14" x14ac:dyDescent="0.25">
      <c r="B57" s="271"/>
      <c r="C57" s="20" t="s">
        <v>71</v>
      </c>
      <c r="D57" s="6" t="s">
        <v>22</v>
      </c>
      <c r="E57" s="60">
        <v>30</v>
      </c>
      <c r="F57" s="61">
        <v>30</v>
      </c>
      <c r="G57" s="21">
        <f>E57*8/100</f>
        <v>2.4</v>
      </c>
      <c r="H57" s="32">
        <f>F57*8/100</f>
        <v>2.4</v>
      </c>
      <c r="I57" s="21">
        <f>E57*1.5/100</f>
        <v>0.45</v>
      </c>
      <c r="J57" s="32">
        <f>F57*1.5/100</f>
        <v>0.45</v>
      </c>
      <c r="K57" s="21">
        <f>E57*40.1/100</f>
        <v>12.03</v>
      </c>
      <c r="L57" s="32">
        <f>F57*40.1/100</f>
        <v>12.03</v>
      </c>
      <c r="M57" s="21">
        <f t="shared" si="30"/>
        <v>61.769999999999996</v>
      </c>
      <c r="N57" s="34">
        <f t="shared" si="30"/>
        <v>61.769999999999996</v>
      </c>
    </row>
    <row r="58" spans="2:14" x14ac:dyDescent="0.25">
      <c r="B58" s="271"/>
      <c r="C58" s="20" t="s">
        <v>72</v>
      </c>
      <c r="D58" s="6" t="s">
        <v>73</v>
      </c>
      <c r="E58" s="60">
        <v>50</v>
      </c>
      <c r="F58" s="61">
        <v>50</v>
      </c>
      <c r="G58" s="21">
        <f>E58*7.6/100</f>
        <v>3.8</v>
      </c>
      <c r="H58" s="32">
        <f>F58*7.6/100</f>
        <v>3.8</v>
      </c>
      <c r="I58" s="21">
        <f>E58*0.8/100</f>
        <v>0.4</v>
      </c>
      <c r="J58" s="32">
        <f>F58*0.8/100</f>
        <v>0.4</v>
      </c>
      <c r="K58" s="21">
        <f>E58*49.2/100</f>
        <v>24.6</v>
      </c>
      <c r="L58" s="32">
        <f>F58*49.2/100</f>
        <v>24.6</v>
      </c>
      <c r="M58" s="21">
        <f t="shared" si="30"/>
        <v>117.2</v>
      </c>
      <c r="N58" s="34">
        <f t="shared" si="30"/>
        <v>117.2</v>
      </c>
    </row>
    <row r="59" spans="2:14" x14ac:dyDescent="0.25">
      <c r="B59" s="271"/>
      <c r="C59" s="20" t="s">
        <v>113</v>
      </c>
      <c r="D59" s="6" t="s">
        <v>110</v>
      </c>
      <c r="E59" s="108">
        <v>100</v>
      </c>
      <c r="F59" s="30">
        <v>100</v>
      </c>
      <c r="G59" s="21">
        <f>E59*0.4/100</f>
        <v>0.4</v>
      </c>
      <c r="H59" s="32">
        <f>F59*0.4/100</f>
        <v>0.4</v>
      </c>
      <c r="I59" s="21">
        <f>E59*0.4/100</f>
        <v>0.4</v>
      </c>
      <c r="J59" s="32">
        <f>F59*0.4/100</f>
        <v>0.4</v>
      </c>
      <c r="K59" s="21">
        <f>E59*9.8/100</f>
        <v>9.8000000000000007</v>
      </c>
      <c r="L59" s="32">
        <f>F59*9.8/100</f>
        <v>9.8000000000000007</v>
      </c>
      <c r="M59" s="21">
        <f t="shared" si="30"/>
        <v>44.400000000000006</v>
      </c>
      <c r="N59" s="34">
        <f t="shared" si="30"/>
        <v>44.400000000000006</v>
      </c>
    </row>
    <row r="60" spans="2:14" x14ac:dyDescent="0.25">
      <c r="B60" s="271"/>
      <c r="C60" s="20"/>
      <c r="D60" s="4" t="s">
        <v>14</v>
      </c>
      <c r="E60" s="23">
        <f t="shared" ref="E60:N60" si="32">SUM(E53:E59)</f>
        <v>830</v>
      </c>
      <c r="F60" s="37">
        <f t="shared" si="32"/>
        <v>910</v>
      </c>
      <c r="G60" s="7">
        <f t="shared" si="32"/>
        <v>30.689999999999998</v>
      </c>
      <c r="H60" s="33">
        <f t="shared" si="32"/>
        <v>32.5</v>
      </c>
      <c r="I60" s="23">
        <f t="shared" si="32"/>
        <v>28.209999999999997</v>
      </c>
      <c r="J60" s="33">
        <f t="shared" si="32"/>
        <v>30.98</v>
      </c>
      <c r="K60" s="7">
        <f t="shared" si="32"/>
        <v>102.77999999999999</v>
      </c>
      <c r="L60" s="33">
        <f t="shared" si="32"/>
        <v>109.74</v>
      </c>
      <c r="M60" s="7">
        <f t="shared" si="32"/>
        <v>787.77</v>
      </c>
      <c r="N60" s="35">
        <f t="shared" si="32"/>
        <v>847.78</v>
      </c>
    </row>
    <row r="61" spans="2:14" ht="15.75" thickBot="1" x14ac:dyDescent="0.3">
      <c r="B61" s="272"/>
      <c r="C61" s="24"/>
      <c r="D61" s="16" t="s">
        <v>12</v>
      </c>
      <c r="E61" s="17"/>
      <c r="F61" s="38"/>
      <c r="G61" s="18">
        <f t="shared" ref="G61:N61" si="33">G51+G60</f>
        <v>51.319999999999993</v>
      </c>
      <c r="H61" s="39">
        <f t="shared" si="33"/>
        <v>53.129999999999995</v>
      </c>
      <c r="I61" s="18">
        <f t="shared" si="33"/>
        <v>44.58</v>
      </c>
      <c r="J61" s="39">
        <f t="shared" si="33"/>
        <v>47.349999999999994</v>
      </c>
      <c r="K61" s="18">
        <f t="shared" si="33"/>
        <v>162.77499999999998</v>
      </c>
      <c r="L61" s="39">
        <f t="shared" si="33"/>
        <v>169.73499999999999</v>
      </c>
      <c r="M61" s="18">
        <f t="shared" si="33"/>
        <v>1257.5999999999999</v>
      </c>
      <c r="N61" s="41">
        <f t="shared" si="33"/>
        <v>1317.61</v>
      </c>
    </row>
  </sheetData>
  <mergeCells count="18">
    <mergeCell ref="M5:N6"/>
    <mergeCell ref="G6:H6"/>
    <mergeCell ref="I6:J6"/>
    <mergeCell ref="K6:L6"/>
    <mergeCell ref="B5:B7"/>
    <mergeCell ref="C5:C7"/>
    <mergeCell ref="D5:D7"/>
    <mergeCell ref="E5:F6"/>
    <mergeCell ref="G5:L5"/>
    <mergeCell ref="B46:B61"/>
    <mergeCell ref="C46:N46"/>
    <mergeCell ref="C52:N52"/>
    <mergeCell ref="B8:B26"/>
    <mergeCell ref="C8:N8"/>
    <mergeCell ref="C15:N15"/>
    <mergeCell ref="B27:B45"/>
    <mergeCell ref="C27:N27"/>
    <mergeCell ref="C34:N34"/>
  </mergeCells>
  <pageMargins left="0.23622047244094491" right="0.23622047244094491" top="0.19685039370078741" bottom="0.19685039370078741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B1:Z59"/>
  <sheetViews>
    <sheetView zoomScale="90" zoomScaleNormal="90" zoomScaleSheetLayoutView="70" zoomScalePageLayoutView="90" workbookViewId="0">
      <selection activeCell="C37" sqref="C37:N37"/>
    </sheetView>
  </sheetViews>
  <sheetFormatPr defaultRowHeight="15" x14ac:dyDescent="0.25"/>
  <cols>
    <col min="1" max="1" width="5.7109375" style="14" customWidth="1"/>
    <col min="2" max="2" width="3.28515625" style="14" customWidth="1"/>
    <col min="3" max="3" width="10.5703125" style="14" customWidth="1"/>
    <col min="4" max="4" width="42.42578125" style="14" customWidth="1"/>
    <col min="5" max="6" width="7.28515625" style="14" customWidth="1"/>
    <col min="7" max="7" width="6.7109375" style="14" customWidth="1"/>
    <col min="8" max="8" width="6.85546875" style="14" customWidth="1"/>
    <col min="9" max="9" width="6.42578125" style="14" customWidth="1"/>
    <col min="10" max="10" width="6.5703125" style="14" customWidth="1"/>
    <col min="11" max="11" width="7.5703125" style="14" customWidth="1"/>
    <col min="12" max="12" width="7.42578125" style="14" customWidth="1"/>
    <col min="13" max="13" width="8.5703125" style="14" customWidth="1"/>
    <col min="14" max="14" width="7.5703125" style="14" customWidth="1"/>
    <col min="15" max="15" width="9" style="14" customWidth="1"/>
    <col min="16" max="16" width="7.28515625" style="14" customWidth="1"/>
    <col min="17" max="20" width="9.140625" style="14"/>
    <col min="21" max="21" width="19.7109375" style="14" customWidth="1"/>
    <col min="22" max="22" width="7.7109375" style="14" customWidth="1"/>
    <col min="23" max="23" width="9.140625" style="14"/>
    <col min="24" max="24" width="7.7109375" style="14" customWidth="1"/>
    <col min="25" max="16384" width="9.140625" style="14"/>
  </cols>
  <sheetData>
    <row r="1" spans="2:26" ht="22.5" customHeight="1" x14ac:dyDescent="0.25"/>
    <row r="2" spans="2:26" ht="15" customHeight="1" thickBot="1" x14ac:dyDescent="0.3">
      <c r="B2" s="279"/>
      <c r="C2" s="279"/>
      <c r="D2" s="279"/>
      <c r="E2" s="279"/>
      <c r="O2" s="2"/>
      <c r="P2" s="2"/>
      <c r="Q2" s="1"/>
      <c r="R2" s="1"/>
      <c r="S2" s="1"/>
      <c r="T2" s="1"/>
      <c r="U2" s="2"/>
      <c r="V2" s="2"/>
      <c r="W2" s="1"/>
      <c r="X2" s="1"/>
      <c r="Y2" s="1"/>
      <c r="Z2" s="1"/>
    </row>
    <row r="3" spans="2:26" ht="15" customHeight="1" x14ac:dyDescent="0.25">
      <c r="B3" s="276" t="s">
        <v>199</v>
      </c>
      <c r="C3" s="241" t="s">
        <v>0</v>
      </c>
      <c r="D3" s="244" t="s">
        <v>1</v>
      </c>
      <c r="E3" s="247" t="s">
        <v>6</v>
      </c>
      <c r="F3" s="248"/>
      <c r="G3" s="251" t="s">
        <v>7</v>
      </c>
      <c r="H3" s="251"/>
      <c r="I3" s="251"/>
      <c r="J3" s="251"/>
      <c r="K3" s="251"/>
      <c r="L3" s="251"/>
      <c r="M3" s="252" t="s">
        <v>5</v>
      </c>
      <c r="N3" s="253"/>
      <c r="O3" s="1"/>
      <c r="P3" s="3"/>
      <c r="Q3" s="5"/>
      <c r="R3" s="5"/>
      <c r="S3" s="5"/>
      <c r="T3" s="5"/>
      <c r="U3" s="1"/>
      <c r="V3" s="3"/>
      <c r="W3" s="5"/>
      <c r="X3" s="5"/>
      <c r="Y3" s="5"/>
      <c r="Z3" s="5"/>
    </row>
    <row r="4" spans="2:26" x14ac:dyDescent="0.25">
      <c r="B4" s="277"/>
      <c r="C4" s="242"/>
      <c r="D4" s="245"/>
      <c r="E4" s="249"/>
      <c r="F4" s="250"/>
      <c r="G4" s="256" t="s">
        <v>3</v>
      </c>
      <c r="H4" s="256"/>
      <c r="I4" s="254" t="s">
        <v>2</v>
      </c>
      <c r="J4" s="254"/>
      <c r="K4" s="256" t="s">
        <v>4</v>
      </c>
      <c r="L4" s="256"/>
      <c r="M4" s="254"/>
      <c r="N4" s="255"/>
      <c r="O4" s="1"/>
      <c r="P4" s="3"/>
      <c r="Q4" s="5"/>
      <c r="R4" s="5"/>
      <c r="S4" s="5"/>
      <c r="T4" s="5"/>
      <c r="U4" s="1"/>
      <c r="V4" s="3"/>
      <c r="W4" s="5"/>
      <c r="X4" s="5"/>
      <c r="Y4" s="5"/>
      <c r="Z4" s="5"/>
    </row>
    <row r="5" spans="2:26" ht="21" customHeight="1" thickBot="1" x14ac:dyDescent="0.3">
      <c r="B5" s="278"/>
      <c r="C5" s="243"/>
      <c r="D5" s="246"/>
      <c r="E5" s="26" t="s">
        <v>15</v>
      </c>
      <c r="F5" s="27" t="s">
        <v>43</v>
      </c>
      <c r="G5" s="26" t="s">
        <v>15</v>
      </c>
      <c r="H5" s="27" t="s">
        <v>43</v>
      </c>
      <c r="I5" s="26" t="s">
        <v>15</v>
      </c>
      <c r="J5" s="27" t="s">
        <v>43</v>
      </c>
      <c r="K5" s="26" t="s">
        <v>15</v>
      </c>
      <c r="L5" s="27" t="s">
        <v>43</v>
      </c>
      <c r="M5" s="26" t="s">
        <v>15</v>
      </c>
      <c r="N5" s="28" t="s">
        <v>43</v>
      </c>
      <c r="O5" s="1"/>
      <c r="P5" s="3"/>
      <c r="Q5" s="5"/>
      <c r="R5" s="5"/>
      <c r="S5" s="5"/>
      <c r="T5" s="5"/>
      <c r="U5" s="1"/>
      <c r="V5" s="3"/>
      <c r="W5" s="5"/>
      <c r="X5" s="5"/>
      <c r="Y5" s="5"/>
      <c r="Z5" s="5"/>
    </row>
    <row r="6" spans="2:26" x14ac:dyDescent="0.25">
      <c r="B6" s="285" t="s">
        <v>168</v>
      </c>
      <c r="C6" s="238" t="s">
        <v>8</v>
      </c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40"/>
      <c r="O6" s="1"/>
      <c r="P6" s="3"/>
      <c r="Q6" s="5"/>
      <c r="R6" s="5"/>
      <c r="S6" s="5"/>
      <c r="T6" s="5"/>
      <c r="U6" s="1"/>
      <c r="V6" s="3"/>
      <c r="W6" s="5"/>
      <c r="X6" s="5"/>
      <c r="Y6" s="5"/>
      <c r="Z6" s="5"/>
    </row>
    <row r="7" spans="2:26" x14ac:dyDescent="0.25">
      <c r="B7" s="286"/>
      <c r="C7" s="19" t="s">
        <v>58</v>
      </c>
      <c r="D7" s="8" t="s">
        <v>23</v>
      </c>
      <c r="E7" s="93">
        <v>200</v>
      </c>
      <c r="F7" s="29">
        <v>200</v>
      </c>
      <c r="G7" s="21">
        <f>E7*3.63/100</f>
        <v>7.26</v>
      </c>
      <c r="H7" s="32">
        <f>F7*3.63/100</f>
        <v>7.26</v>
      </c>
      <c r="I7" s="21">
        <f>E7*3.23/100</f>
        <v>6.46</v>
      </c>
      <c r="J7" s="32">
        <f>F7*3.23/100</f>
        <v>6.46</v>
      </c>
      <c r="K7" s="21">
        <f>E7*17.68/100</f>
        <v>35.36</v>
      </c>
      <c r="L7" s="32">
        <f>F7*17.68/100</f>
        <v>35.36</v>
      </c>
      <c r="M7" s="21">
        <f t="shared" ref="M7:N7" si="0">G7*4+I7*9+K7*4</f>
        <v>228.62</v>
      </c>
      <c r="N7" s="34">
        <f t="shared" si="0"/>
        <v>228.62</v>
      </c>
      <c r="O7" s="1"/>
      <c r="P7" s="3"/>
      <c r="Q7" s="5"/>
      <c r="R7" s="5"/>
      <c r="S7" s="5"/>
      <c r="T7" s="5"/>
      <c r="U7" s="1"/>
      <c r="V7" s="3"/>
      <c r="W7" s="5"/>
      <c r="X7" s="5"/>
      <c r="Y7" s="5"/>
      <c r="Z7" s="5"/>
    </row>
    <row r="8" spans="2:26" s="15" customFormat="1" x14ac:dyDescent="0.25">
      <c r="B8" s="286"/>
      <c r="C8" s="89" t="s">
        <v>108</v>
      </c>
      <c r="D8" s="90" t="s">
        <v>109</v>
      </c>
      <c r="E8" s="77">
        <v>10</v>
      </c>
      <c r="F8" s="88">
        <v>15</v>
      </c>
      <c r="G8" s="21">
        <f>E8*23.2/100</f>
        <v>2.3199999999999998</v>
      </c>
      <c r="H8" s="32">
        <f>F8*23.2/100</f>
        <v>3.48</v>
      </c>
      <c r="I8" s="21">
        <f>E8*29.5/100</f>
        <v>2.95</v>
      </c>
      <c r="J8" s="32">
        <f>F8*29.5/100</f>
        <v>4.4249999999999998</v>
      </c>
      <c r="K8" s="21">
        <f>E8*0/100</f>
        <v>0</v>
      </c>
      <c r="L8" s="32">
        <f>F8*0/100</f>
        <v>0</v>
      </c>
      <c r="M8" s="21">
        <f t="shared" ref="M8:N11" si="1">G8*4+I8*9+K8*4</f>
        <v>35.83</v>
      </c>
      <c r="N8" s="34">
        <f t="shared" si="1"/>
        <v>53.744999999999997</v>
      </c>
      <c r="O8" s="1"/>
      <c r="P8" s="3"/>
      <c r="Q8" s="5"/>
      <c r="R8" s="5"/>
      <c r="S8" s="5"/>
      <c r="T8" s="5"/>
      <c r="U8" s="1"/>
      <c r="V8" s="3"/>
      <c r="W8" s="5"/>
      <c r="X8" s="5"/>
      <c r="Y8" s="5"/>
      <c r="Z8" s="5"/>
    </row>
    <row r="9" spans="2:26" s="15" customFormat="1" x14ac:dyDescent="0.25">
      <c r="B9" s="286"/>
      <c r="C9" s="19" t="s">
        <v>67</v>
      </c>
      <c r="D9" s="9" t="s">
        <v>68</v>
      </c>
      <c r="E9" s="108">
        <v>200</v>
      </c>
      <c r="F9" s="30">
        <v>200</v>
      </c>
      <c r="G9" s="21">
        <f>E9*1.4/200</f>
        <v>1.4</v>
      </c>
      <c r="H9" s="32">
        <f>F9*1.4/200</f>
        <v>1.4</v>
      </c>
      <c r="I9" s="21">
        <f>E9*1.2/200</f>
        <v>1.2</v>
      </c>
      <c r="J9" s="32">
        <f>F9*1.2/200</f>
        <v>1.2</v>
      </c>
      <c r="K9" s="21">
        <f>E9*11.4/200</f>
        <v>11.4</v>
      </c>
      <c r="L9" s="32">
        <f>F9*11.4/200</f>
        <v>11.4</v>
      </c>
      <c r="M9" s="21">
        <f t="shared" si="1"/>
        <v>62</v>
      </c>
      <c r="N9" s="34">
        <f t="shared" si="1"/>
        <v>62</v>
      </c>
      <c r="O9" s="1"/>
      <c r="P9" s="3"/>
      <c r="Q9" s="5"/>
      <c r="R9" s="5"/>
      <c r="S9" s="5"/>
      <c r="T9" s="5"/>
      <c r="U9" s="1"/>
      <c r="V9" s="3"/>
      <c r="W9" s="5"/>
      <c r="X9" s="5"/>
      <c r="Y9" s="5"/>
      <c r="Z9" s="5"/>
    </row>
    <row r="10" spans="2:26" x14ac:dyDescent="0.25">
      <c r="B10" s="286"/>
      <c r="C10" s="20" t="s">
        <v>126</v>
      </c>
      <c r="D10" s="95" t="s">
        <v>127</v>
      </c>
      <c r="E10" s="60">
        <v>30</v>
      </c>
      <c r="F10" s="61">
        <v>30</v>
      </c>
      <c r="G10" s="96">
        <f>E10*7.5/100</f>
        <v>2.25</v>
      </c>
      <c r="H10" s="43">
        <f>F10*7.5/100</f>
        <v>2.25</v>
      </c>
      <c r="I10" s="97">
        <f>E10*2.9/100</f>
        <v>0.87</v>
      </c>
      <c r="J10" s="32">
        <f>F10*2.9/100</f>
        <v>0.87</v>
      </c>
      <c r="K10" s="97">
        <f>E10*51.4/100</f>
        <v>15.42</v>
      </c>
      <c r="L10" s="32">
        <f>F10*51.4/100</f>
        <v>15.42</v>
      </c>
      <c r="M10" s="97">
        <f t="shared" si="1"/>
        <v>78.509999999999991</v>
      </c>
      <c r="N10" s="34">
        <f t="shared" si="1"/>
        <v>78.509999999999991</v>
      </c>
      <c r="O10" s="1"/>
      <c r="P10" s="3"/>
      <c r="Q10" s="5"/>
      <c r="R10" s="5"/>
      <c r="S10" s="5"/>
      <c r="T10" s="5"/>
      <c r="U10" s="1"/>
      <c r="V10" s="3"/>
      <c r="W10" s="5"/>
      <c r="X10" s="5"/>
      <c r="Y10" s="5"/>
      <c r="Z10" s="5"/>
    </row>
    <row r="11" spans="2:26" x14ac:dyDescent="0.25">
      <c r="B11" s="286"/>
      <c r="C11" s="20" t="s">
        <v>72</v>
      </c>
      <c r="D11" s="6" t="s">
        <v>73</v>
      </c>
      <c r="E11" s="60">
        <v>30</v>
      </c>
      <c r="F11" s="61">
        <v>30</v>
      </c>
      <c r="G11" s="21">
        <f>E11*7.6/100</f>
        <v>2.2799999999999998</v>
      </c>
      <c r="H11" s="32">
        <f>F11*7.6/100</f>
        <v>2.2799999999999998</v>
      </c>
      <c r="I11" s="21">
        <f>E11*0.8/100</f>
        <v>0.24</v>
      </c>
      <c r="J11" s="32">
        <f>F11*0.8/100</f>
        <v>0.24</v>
      </c>
      <c r="K11" s="21">
        <f>E11*49.2/100</f>
        <v>14.76</v>
      </c>
      <c r="L11" s="32">
        <f>F11*49.2/100</f>
        <v>14.76</v>
      </c>
      <c r="M11" s="21">
        <f t="shared" si="1"/>
        <v>70.319999999999993</v>
      </c>
      <c r="N11" s="34">
        <f t="shared" si="1"/>
        <v>70.319999999999993</v>
      </c>
      <c r="O11" s="1"/>
      <c r="P11" s="3"/>
      <c r="Q11" s="5"/>
      <c r="R11" s="5"/>
      <c r="S11" s="5"/>
      <c r="T11" s="5"/>
      <c r="U11" s="1"/>
      <c r="V11" s="3"/>
      <c r="W11" s="5"/>
      <c r="X11" s="5"/>
      <c r="Y11" s="5"/>
      <c r="Z11" s="5"/>
    </row>
    <row r="12" spans="2:26" x14ac:dyDescent="0.25">
      <c r="B12" s="286"/>
      <c r="C12" s="25"/>
      <c r="D12" s="4" t="s">
        <v>13</v>
      </c>
      <c r="E12" s="23">
        <f t="shared" ref="E12:L12" si="2">SUM(E7:E11)</f>
        <v>470</v>
      </c>
      <c r="F12" s="31">
        <f t="shared" si="2"/>
        <v>475</v>
      </c>
      <c r="G12" s="7">
        <f t="shared" si="2"/>
        <v>15.51</v>
      </c>
      <c r="H12" s="33">
        <f t="shared" si="2"/>
        <v>16.670000000000002</v>
      </c>
      <c r="I12" s="7">
        <f t="shared" si="2"/>
        <v>11.719999999999999</v>
      </c>
      <c r="J12" s="33">
        <f t="shared" si="2"/>
        <v>13.194999999999999</v>
      </c>
      <c r="K12" s="7">
        <f t="shared" si="2"/>
        <v>76.94</v>
      </c>
      <c r="L12" s="33">
        <f t="shared" si="2"/>
        <v>76.94</v>
      </c>
      <c r="M12" s="7">
        <f t="shared" ref="M12:N12" si="3">G12*4+I12*9+K12*4</f>
        <v>475.28</v>
      </c>
      <c r="N12" s="35">
        <f t="shared" si="3"/>
        <v>493.19499999999999</v>
      </c>
      <c r="O12" s="1"/>
      <c r="P12" s="3"/>
      <c r="Q12" s="5"/>
      <c r="R12" s="5"/>
      <c r="S12" s="5"/>
      <c r="T12" s="5"/>
      <c r="U12" s="1"/>
      <c r="V12" s="3"/>
      <c r="W12" s="5"/>
      <c r="X12" s="5"/>
      <c r="Y12" s="5"/>
      <c r="Z12" s="5"/>
    </row>
    <row r="13" spans="2:26" x14ac:dyDescent="0.25">
      <c r="B13" s="286"/>
      <c r="C13" s="273" t="s">
        <v>9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5"/>
      <c r="O13" s="1"/>
      <c r="P13" s="3"/>
      <c r="Q13" s="5"/>
      <c r="R13" s="5"/>
      <c r="S13" s="5"/>
      <c r="T13" s="5"/>
      <c r="U13" s="1"/>
      <c r="V13" s="3"/>
      <c r="W13" s="5"/>
      <c r="X13" s="5"/>
      <c r="Y13" s="5"/>
      <c r="Z13" s="5"/>
    </row>
    <row r="14" spans="2:26" s="15" customFormat="1" x14ac:dyDescent="0.25">
      <c r="B14" s="286"/>
      <c r="C14" s="19" t="s">
        <v>82</v>
      </c>
      <c r="D14" s="130" t="s">
        <v>83</v>
      </c>
      <c r="E14" s="138">
        <v>60</v>
      </c>
      <c r="F14" s="42">
        <v>100</v>
      </c>
      <c r="G14" s="22">
        <f>E14*0.7/100</f>
        <v>0.42</v>
      </c>
      <c r="H14" s="43">
        <f>F14*0.7/100</f>
        <v>0.7</v>
      </c>
      <c r="I14" s="22">
        <f>E14*0.1/100</f>
        <v>0.06</v>
      </c>
      <c r="J14" s="43">
        <f>F14*0.1/100</f>
        <v>0.1</v>
      </c>
      <c r="K14" s="22">
        <f>E14*1.9/100</f>
        <v>1.1399999999999999</v>
      </c>
      <c r="L14" s="43">
        <f>F14*1.9/100</f>
        <v>1.9</v>
      </c>
      <c r="M14" s="22">
        <f t="shared" ref="M14:N14" si="4">G14*4+I14*9+K14*4</f>
        <v>6.7799999999999994</v>
      </c>
      <c r="N14" s="40">
        <f t="shared" si="4"/>
        <v>11.299999999999999</v>
      </c>
      <c r="O14" s="1"/>
      <c r="P14" s="3"/>
      <c r="Q14" s="5"/>
      <c r="R14" s="5"/>
      <c r="S14" s="5"/>
      <c r="T14" s="5"/>
      <c r="U14" s="1"/>
      <c r="V14" s="3"/>
      <c r="W14" s="5"/>
      <c r="X14" s="5"/>
      <c r="Y14" s="5"/>
      <c r="Z14" s="5"/>
    </row>
    <row r="15" spans="2:26" s="15" customFormat="1" x14ac:dyDescent="0.25">
      <c r="B15" s="286"/>
      <c r="C15" s="57" t="s">
        <v>244</v>
      </c>
      <c r="D15" s="130" t="s">
        <v>245</v>
      </c>
      <c r="E15" s="108">
        <v>200</v>
      </c>
      <c r="F15" s="36">
        <v>250</v>
      </c>
      <c r="G15" s="21">
        <f>E15*1.95/100</f>
        <v>3.9</v>
      </c>
      <c r="H15" s="32">
        <f>F15*1.95/100</f>
        <v>4.875</v>
      </c>
      <c r="I15" s="21">
        <f>E15*2.96/100</f>
        <v>5.92</v>
      </c>
      <c r="J15" s="32">
        <f>F15*2.96/100</f>
        <v>7.4</v>
      </c>
      <c r="K15" s="21">
        <f>E15*6.21/100</f>
        <v>12.42</v>
      </c>
      <c r="L15" s="32">
        <f>F15*6.21/100</f>
        <v>15.525</v>
      </c>
      <c r="M15" s="22">
        <f t="shared" ref="M15:M17" si="5">G15*4+I15*9+K15*4</f>
        <v>118.56</v>
      </c>
      <c r="N15" s="40">
        <f t="shared" ref="N15" si="6">H15*4+J15*9+L15*4</f>
        <v>148.20000000000002</v>
      </c>
      <c r="O15" s="1"/>
      <c r="P15" s="3"/>
      <c r="Q15" s="5"/>
      <c r="R15" s="5"/>
      <c r="S15" s="5"/>
      <c r="T15" s="5"/>
      <c r="U15" s="1"/>
      <c r="V15" s="3"/>
      <c r="W15" s="5"/>
      <c r="X15" s="5"/>
      <c r="Y15" s="5"/>
      <c r="Z15" s="5"/>
    </row>
    <row r="16" spans="2:26" s="15" customFormat="1" x14ac:dyDescent="0.25">
      <c r="B16" s="286"/>
      <c r="C16" s="20" t="s">
        <v>33</v>
      </c>
      <c r="D16" s="6" t="s">
        <v>10</v>
      </c>
      <c r="E16" s="108">
        <v>150</v>
      </c>
      <c r="F16" s="30">
        <v>180</v>
      </c>
      <c r="G16" s="21">
        <f>E16*3.63/100</f>
        <v>5.4450000000000003</v>
      </c>
      <c r="H16" s="32">
        <f>F16*3.63/100</f>
        <v>6.5339999999999998</v>
      </c>
      <c r="I16" s="21">
        <f>E16*4.5/100</f>
        <v>6.75</v>
      </c>
      <c r="J16" s="32">
        <f>F16*4.5/100</f>
        <v>8.1</v>
      </c>
      <c r="K16" s="21">
        <f>E16*22.5/100</f>
        <v>33.75</v>
      </c>
      <c r="L16" s="32">
        <f>F16*22.5/100</f>
        <v>40.5</v>
      </c>
      <c r="M16" s="21">
        <f t="shared" si="5"/>
        <v>217.53</v>
      </c>
      <c r="N16" s="34">
        <f t="shared" ref="N16:N17" si="7">H16*4+J16*9+L16*4</f>
        <v>261.036</v>
      </c>
      <c r="O16" s="1"/>
      <c r="P16" s="3"/>
      <c r="Q16" s="5"/>
      <c r="R16" s="5"/>
      <c r="S16" s="5"/>
      <c r="T16" s="5"/>
      <c r="U16" s="1"/>
      <c r="V16" s="3"/>
      <c r="W16" s="5"/>
      <c r="X16" s="5"/>
      <c r="Y16" s="5"/>
      <c r="Z16" s="5"/>
    </row>
    <row r="17" spans="2:26" s="15" customFormat="1" x14ac:dyDescent="0.25">
      <c r="B17" s="286"/>
      <c r="C17" s="19" t="s">
        <v>175</v>
      </c>
      <c r="D17" s="9" t="s">
        <v>176</v>
      </c>
      <c r="E17" s="108">
        <v>100</v>
      </c>
      <c r="F17" s="30">
        <v>100</v>
      </c>
      <c r="G17" s="21">
        <f>E17*13.5/100</f>
        <v>13.5</v>
      </c>
      <c r="H17" s="32">
        <f>F17*13.5/100</f>
        <v>13.5</v>
      </c>
      <c r="I17" s="21">
        <f>E17*21/100</f>
        <v>21</v>
      </c>
      <c r="J17" s="32">
        <f>F17*21/100</f>
        <v>21</v>
      </c>
      <c r="K17" s="21">
        <f>E17*9.9/100</f>
        <v>9.9</v>
      </c>
      <c r="L17" s="32">
        <f>F17*9.9/100</f>
        <v>9.9</v>
      </c>
      <c r="M17" s="21">
        <f t="shared" si="5"/>
        <v>282.60000000000002</v>
      </c>
      <c r="N17" s="34">
        <f t="shared" si="7"/>
        <v>282.60000000000002</v>
      </c>
      <c r="O17" s="1"/>
      <c r="P17" s="3"/>
      <c r="Q17" s="5"/>
      <c r="R17" s="5"/>
      <c r="S17" s="5"/>
      <c r="T17" s="5"/>
      <c r="U17" s="1"/>
      <c r="V17" s="3"/>
      <c r="W17" s="5"/>
      <c r="X17" s="5"/>
      <c r="Y17" s="5"/>
      <c r="Z17" s="5"/>
    </row>
    <row r="18" spans="2:26" x14ac:dyDescent="0.25">
      <c r="B18" s="286"/>
      <c r="C18" s="20" t="s">
        <v>116</v>
      </c>
      <c r="D18" s="6" t="s">
        <v>117</v>
      </c>
      <c r="E18" s="93">
        <v>200</v>
      </c>
      <c r="F18" s="30">
        <v>200</v>
      </c>
      <c r="G18" s="21">
        <f>E18*0.1/200</f>
        <v>0.1</v>
      </c>
      <c r="H18" s="32">
        <f>F18*0.1/200</f>
        <v>0.1</v>
      </c>
      <c r="I18" s="91">
        <f>E18*0/100</f>
        <v>0</v>
      </c>
      <c r="J18" s="32">
        <f>F18*0/100</f>
        <v>0</v>
      </c>
      <c r="K18" s="21">
        <f>E18*24.2/200</f>
        <v>24.2</v>
      </c>
      <c r="L18" s="32">
        <f>F18*24.2/200</f>
        <v>24.2</v>
      </c>
      <c r="M18" s="21">
        <f t="shared" ref="M18:N21" si="8">G18*4+I18*9+K18*4</f>
        <v>97.2</v>
      </c>
      <c r="N18" s="34">
        <f t="shared" si="8"/>
        <v>97.2</v>
      </c>
      <c r="O18" s="1"/>
      <c r="P18" s="3"/>
      <c r="Q18" s="5"/>
      <c r="R18" s="5"/>
      <c r="S18" s="5"/>
      <c r="T18" s="5"/>
      <c r="U18" s="1"/>
      <c r="V18" s="3"/>
      <c r="W18" s="5"/>
      <c r="X18" s="5"/>
      <c r="Y18" s="5"/>
      <c r="Z18" s="5"/>
    </row>
    <row r="19" spans="2:26" s="15" customFormat="1" x14ac:dyDescent="0.25">
      <c r="B19" s="286"/>
      <c r="C19" s="20" t="s">
        <v>71</v>
      </c>
      <c r="D19" s="6" t="s">
        <v>22</v>
      </c>
      <c r="E19" s="60">
        <v>20</v>
      </c>
      <c r="F19" s="61">
        <v>20</v>
      </c>
      <c r="G19" s="21">
        <f>E19*8/100</f>
        <v>1.6</v>
      </c>
      <c r="H19" s="32">
        <f>F19*8/100</f>
        <v>1.6</v>
      </c>
      <c r="I19" s="21">
        <f>E19*1.5/100</f>
        <v>0.3</v>
      </c>
      <c r="J19" s="32">
        <f>F19*1.5/100</f>
        <v>0.3</v>
      </c>
      <c r="K19" s="21">
        <f>E19*40.1/100</f>
        <v>8.02</v>
      </c>
      <c r="L19" s="32">
        <f>F19*40.1/100</f>
        <v>8.02</v>
      </c>
      <c r="M19" s="21">
        <f t="shared" si="8"/>
        <v>41.18</v>
      </c>
      <c r="N19" s="34">
        <f t="shared" si="8"/>
        <v>41.18</v>
      </c>
      <c r="O19" s="1"/>
      <c r="P19" s="3"/>
      <c r="Q19" s="5"/>
      <c r="R19" s="5"/>
      <c r="S19" s="5"/>
      <c r="T19" s="5"/>
      <c r="U19" s="1"/>
      <c r="V19" s="3"/>
      <c r="W19" s="5"/>
      <c r="X19" s="5"/>
      <c r="Y19" s="5"/>
      <c r="Z19" s="5"/>
    </row>
    <row r="20" spans="2:26" x14ac:dyDescent="0.25">
      <c r="B20" s="286"/>
      <c r="C20" s="20" t="s">
        <v>72</v>
      </c>
      <c r="D20" s="6" t="s">
        <v>73</v>
      </c>
      <c r="E20" s="60">
        <v>40</v>
      </c>
      <c r="F20" s="61">
        <v>40</v>
      </c>
      <c r="G20" s="21">
        <f>E20*7.6/100</f>
        <v>3.04</v>
      </c>
      <c r="H20" s="32">
        <f>F20*7.6/100</f>
        <v>3.04</v>
      </c>
      <c r="I20" s="21">
        <f>E20*0.8/100</f>
        <v>0.32</v>
      </c>
      <c r="J20" s="32">
        <f>F20*0.8/100</f>
        <v>0.32</v>
      </c>
      <c r="K20" s="21">
        <f>E20*49.2/100</f>
        <v>19.68</v>
      </c>
      <c r="L20" s="32">
        <f>F20*49.2/100</f>
        <v>19.68</v>
      </c>
      <c r="M20" s="21">
        <f t="shared" si="8"/>
        <v>93.759999999999991</v>
      </c>
      <c r="N20" s="34">
        <f t="shared" si="8"/>
        <v>93.759999999999991</v>
      </c>
      <c r="O20" s="1"/>
      <c r="P20" s="3"/>
      <c r="Q20" s="5"/>
      <c r="R20" s="5"/>
      <c r="S20" s="5"/>
      <c r="T20" s="5"/>
      <c r="U20" s="1"/>
      <c r="V20" s="3"/>
      <c r="W20" s="5"/>
      <c r="X20" s="5"/>
      <c r="Y20" s="5"/>
      <c r="Z20" s="5"/>
    </row>
    <row r="21" spans="2:26" s="15" customFormat="1" x14ac:dyDescent="0.25">
      <c r="B21" s="286"/>
      <c r="C21" s="20" t="s">
        <v>215</v>
      </c>
      <c r="D21" s="6" t="s">
        <v>256</v>
      </c>
      <c r="E21" s="108">
        <v>200</v>
      </c>
      <c r="F21" s="30">
        <v>200</v>
      </c>
      <c r="G21" s="21">
        <f>E21*0.5/100</f>
        <v>1</v>
      </c>
      <c r="H21" s="32">
        <f>F21*0.5/100</f>
        <v>1</v>
      </c>
      <c r="I21" s="21">
        <f>E21*0.1/100</f>
        <v>0.2</v>
      </c>
      <c r="J21" s="32">
        <f>F21*0.1/100</f>
        <v>0.2</v>
      </c>
      <c r="K21" s="21">
        <f>E21*10.1/100</f>
        <v>20.2</v>
      </c>
      <c r="L21" s="32">
        <f>F21*10.1/100</f>
        <v>20.2</v>
      </c>
      <c r="M21" s="21">
        <f t="shared" si="8"/>
        <v>86.6</v>
      </c>
      <c r="N21" s="34">
        <f t="shared" si="8"/>
        <v>86.6</v>
      </c>
      <c r="O21" s="1"/>
      <c r="P21" s="3"/>
      <c r="Q21" s="5"/>
      <c r="R21" s="5"/>
      <c r="S21" s="5"/>
      <c r="T21" s="5"/>
      <c r="U21" s="1"/>
      <c r="V21" s="3"/>
      <c r="W21" s="5"/>
      <c r="X21" s="5"/>
      <c r="Y21" s="5"/>
      <c r="Z21" s="5"/>
    </row>
    <row r="22" spans="2:26" x14ac:dyDescent="0.25">
      <c r="B22" s="286"/>
      <c r="C22" s="20"/>
      <c r="D22" s="4" t="s">
        <v>14</v>
      </c>
      <c r="E22" s="23">
        <f t="shared" ref="E22:N22" si="9">SUM(E14:E21)</f>
        <v>970</v>
      </c>
      <c r="F22" s="37">
        <f t="shared" si="9"/>
        <v>1090</v>
      </c>
      <c r="G22" s="7">
        <f t="shared" si="9"/>
        <v>29.005000000000003</v>
      </c>
      <c r="H22" s="33">
        <f t="shared" si="9"/>
        <v>31.349000000000004</v>
      </c>
      <c r="I22" s="23">
        <f t="shared" si="9"/>
        <v>34.550000000000004</v>
      </c>
      <c r="J22" s="33">
        <f t="shared" si="9"/>
        <v>37.42</v>
      </c>
      <c r="K22" s="23">
        <f t="shared" si="9"/>
        <v>129.30999999999997</v>
      </c>
      <c r="L22" s="33">
        <f t="shared" si="9"/>
        <v>139.92499999999998</v>
      </c>
      <c r="M22" s="7">
        <f t="shared" si="9"/>
        <v>944.21</v>
      </c>
      <c r="N22" s="35">
        <f t="shared" si="9"/>
        <v>1021.8760000000001</v>
      </c>
      <c r="O22" s="1"/>
      <c r="P22" s="3"/>
      <c r="Q22" s="5"/>
      <c r="R22" s="5"/>
      <c r="S22" s="5"/>
      <c r="T22" s="5"/>
      <c r="U22" s="1"/>
      <c r="V22" s="3"/>
      <c r="W22" s="5"/>
      <c r="X22" s="5"/>
      <c r="Y22" s="5"/>
      <c r="Z22" s="5"/>
    </row>
    <row r="23" spans="2:26" ht="15.75" thickBot="1" x14ac:dyDescent="0.3">
      <c r="B23" s="286"/>
      <c r="C23" s="62"/>
      <c r="D23" s="63" t="s">
        <v>12</v>
      </c>
      <c r="E23" s="67"/>
      <c r="F23" s="68"/>
      <c r="G23" s="64">
        <f t="shared" ref="G23:N23" si="10">G12+G22</f>
        <v>44.515000000000001</v>
      </c>
      <c r="H23" s="65">
        <f t="shared" si="10"/>
        <v>48.019000000000005</v>
      </c>
      <c r="I23" s="64">
        <f t="shared" si="10"/>
        <v>46.27</v>
      </c>
      <c r="J23" s="65">
        <f t="shared" si="10"/>
        <v>50.615000000000002</v>
      </c>
      <c r="K23" s="64">
        <f t="shared" si="10"/>
        <v>206.24999999999997</v>
      </c>
      <c r="L23" s="65">
        <f t="shared" si="10"/>
        <v>216.86499999999998</v>
      </c>
      <c r="M23" s="64">
        <f t="shared" si="10"/>
        <v>1419.49</v>
      </c>
      <c r="N23" s="66">
        <f t="shared" si="10"/>
        <v>1515.0710000000001</v>
      </c>
      <c r="O23" s="1"/>
      <c r="P23" s="3"/>
      <c r="Q23" s="5"/>
      <c r="R23" s="5"/>
      <c r="S23" s="5"/>
      <c r="T23" s="5"/>
      <c r="U23" s="1"/>
      <c r="V23" s="3"/>
      <c r="W23" s="5"/>
      <c r="X23" s="5"/>
      <c r="Y23" s="5"/>
      <c r="Z23" s="5"/>
    </row>
    <row r="24" spans="2:26" x14ac:dyDescent="0.25">
      <c r="B24" s="267" t="s">
        <v>169</v>
      </c>
      <c r="C24" s="238" t="s">
        <v>8</v>
      </c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40"/>
    </row>
    <row r="25" spans="2:26" x14ac:dyDescent="0.25">
      <c r="B25" s="268"/>
      <c r="C25" s="20" t="s">
        <v>69</v>
      </c>
      <c r="D25" s="59" t="s">
        <v>70</v>
      </c>
      <c r="E25" s="108">
        <v>200</v>
      </c>
      <c r="F25" s="30">
        <v>250</v>
      </c>
      <c r="G25" s="21">
        <f>E25*2.8/100</f>
        <v>5.6</v>
      </c>
      <c r="H25" s="32">
        <f>F25*2.8/100</f>
        <v>7</v>
      </c>
      <c r="I25" s="21">
        <f>E25*3.16/100</f>
        <v>6.32</v>
      </c>
      <c r="J25" s="32">
        <f>F25*3.16/100</f>
        <v>7.9</v>
      </c>
      <c r="K25" s="21">
        <f>E25*9.88/100</f>
        <v>19.760000000000002</v>
      </c>
      <c r="L25" s="32">
        <f>F25*9.88/100</f>
        <v>24.7</v>
      </c>
      <c r="M25" s="21">
        <f t="shared" ref="M25:N28" si="11">G25*4+I25*9+K25*4</f>
        <v>158.32</v>
      </c>
      <c r="N25" s="34">
        <f t="shared" si="11"/>
        <v>197.9</v>
      </c>
    </row>
    <row r="26" spans="2:26" s="15" customFormat="1" x14ac:dyDescent="0.25">
      <c r="B26" s="268"/>
      <c r="C26" s="89" t="s">
        <v>111</v>
      </c>
      <c r="D26" s="90" t="s">
        <v>112</v>
      </c>
      <c r="E26" s="108">
        <v>15</v>
      </c>
      <c r="F26" s="88">
        <v>15</v>
      </c>
      <c r="G26" s="21">
        <f>E26*0.8/100</f>
        <v>0.12</v>
      </c>
      <c r="H26" s="32">
        <f>F26*0.8/100</f>
        <v>0.12</v>
      </c>
      <c r="I26" s="21">
        <f>E26*72.5/100</f>
        <v>10.875</v>
      </c>
      <c r="J26" s="32">
        <f>F26*72.5/100</f>
        <v>10.875</v>
      </c>
      <c r="K26" s="21">
        <f>E26*1.3/100</f>
        <v>0.19500000000000001</v>
      </c>
      <c r="L26" s="32">
        <f>F26*1.3/100</f>
        <v>0.19500000000000001</v>
      </c>
      <c r="M26" s="21">
        <f t="shared" si="11"/>
        <v>99.135000000000005</v>
      </c>
      <c r="N26" s="34">
        <f t="shared" si="11"/>
        <v>99.135000000000005</v>
      </c>
    </row>
    <row r="27" spans="2:26" x14ac:dyDescent="0.25">
      <c r="B27" s="268"/>
      <c r="C27" s="20" t="s">
        <v>44</v>
      </c>
      <c r="D27" s="6" t="s">
        <v>11</v>
      </c>
      <c r="E27" s="108">
        <v>200</v>
      </c>
      <c r="F27" s="30">
        <v>200</v>
      </c>
      <c r="G27" s="21">
        <f>E27*0.3/200</f>
        <v>0.3</v>
      </c>
      <c r="H27" s="32">
        <f>F27*0.3/200</f>
        <v>0.3</v>
      </c>
      <c r="I27" s="21">
        <f t="shared" ref="I27" si="12">E27*0.1/200</f>
        <v>0.1</v>
      </c>
      <c r="J27" s="32">
        <f t="shared" ref="J27" si="13">F27*0.1/200</f>
        <v>0.1</v>
      </c>
      <c r="K27" s="21">
        <f>E27*9.5/200</f>
        <v>9.5</v>
      </c>
      <c r="L27" s="32">
        <f>F27*9.5/200</f>
        <v>9.5</v>
      </c>
      <c r="M27" s="21">
        <f t="shared" si="11"/>
        <v>40.1</v>
      </c>
      <c r="N27" s="34">
        <f t="shared" si="11"/>
        <v>40.1</v>
      </c>
    </row>
    <row r="28" spans="2:26" x14ac:dyDescent="0.25">
      <c r="B28" s="268"/>
      <c r="C28" s="20" t="s">
        <v>72</v>
      </c>
      <c r="D28" s="6" t="s">
        <v>73</v>
      </c>
      <c r="E28" s="60">
        <v>30</v>
      </c>
      <c r="F28" s="61">
        <v>30</v>
      </c>
      <c r="G28" s="21">
        <f>E28*7.6/100</f>
        <v>2.2799999999999998</v>
      </c>
      <c r="H28" s="32">
        <f>F28*7.6/100</f>
        <v>2.2799999999999998</v>
      </c>
      <c r="I28" s="21">
        <f>E28*0.8/100</f>
        <v>0.24</v>
      </c>
      <c r="J28" s="32">
        <f>F28*0.8/100</f>
        <v>0.24</v>
      </c>
      <c r="K28" s="21">
        <f>E28*49.2/100</f>
        <v>14.76</v>
      </c>
      <c r="L28" s="32">
        <f>F28*49.2/100</f>
        <v>14.76</v>
      </c>
      <c r="M28" s="21">
        <f t="shared" si="11"/>
        <v>70.319999999999993</v>
      </c>
      <c r="N28" s="34">
        <f t="shared" si="11"/>
        <v>70.319999999999993</v>
      </c>
    </row>
    <row r="29" spans="2:26" x14ac:dyDescent="0.25">
      <c r="B29" s="268"/>
      <c r="C29" s="69"/>
      <c r="D29" s="70" t="s">
        <v>13</v>
      </c>
      <c r="E29" s="71">
        <f t="shared" ref="E29:L29" si="14">SUM(E25:E28)</f>
        <v>445</v>
      </c>
      <c r="F29" s="72">
        <f t="shared" si="14"/>
        <v>495</v>
      </c>
      <c r="G29" s="73">
        <f t="shared" si="14"/>
        <v>8.2999999999999989</v>
      </c>
      <c r="H29" s="74">
        <f t="shared" si="14"/>
        <v>9.6999999999999993</v>
      </c>
      <c r="I29" s="73">
        <f t="shared" si="14"/>
        <v>17.535</v>
      </c>
      <c r="J29" s="74">
        <f t="shared" si="14"/>
        <v>19.114999999999998</v>
      </c>
      <c r="K29" s="73">
        <f t="shared" si="14"/>
        <v>44.215000000000003</v>
      </c>
      <c r="L29" s="74">
        <f t="shared" si="14"/>
        <v>49.154999999999994</v>
      </c>
      <c r="M29" s="73">
        <f t="shared" ref="M29:N29" si="15">G29*4+I29*9+K29*4</f>
        <v>367.875</v>
      </c>
      <c r="N29" s="75">
        <f t="shared" si="15"/>
        <v>407.45499999999993</v>
      </c>
    </row>
    <row r="30" spans="2:26" x14ac:dyDescent="0.25">
      <c r="B30" s="268"/>
      <c r="C30" s="273" t="s">
        <v>9</v>
      </c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5"/>
    </row>
    <row r="31" spans="2:26" s="15" customFormat="1" x14ac:dyDescent="0.25">
      <c r="B31" s="268"/>
      <c r="C31" s="55" t="s">
        <v>222</v>
      </c>
      <c r="D31" s="9" t="s">
        <v>223</v>
      </c>
      <c r="E31" s="108">
        <v>60</v>
      </c>
      <c r="F31" s="36">
        <v>100</v>
      </c>
      <c r="G31" s="21">
        <f>E31*1.3/100</f>
        <v>0.78</v>
      </c>
      <c r="H31" s="32">
        <f>F31*1.3/100</f>
        <v>1.3</v>
      </c>
      <c r="I31" s="21">
        <f>E31*5.1/100</f>
        <v>3.06</v>
      </c>
      <c r="J31" s="32">
        <f>F31*5.1/100</f>
        <v>5.0999999999999996</v>
      </c>
      <c r="K31" s="21">
        <f>E31*4/100</f>
        <v>2.4</v>
      </c>
      <c r="L31" s="32">
        <f>F31*4/100</f>
        <v>4</v>
      </c>
      <c r="M31" s="22">
        <f t="shared" ref="M31:N31" si="16">G31*4+I31*9+K31*4</f>
        <v>40.26</v>
      </c>
      <c r="N31" s="40">
        <f t="shared" si="16"/>
        <v>67.099999999999994</v>
      </c>
    </row>
    <row r="32" spans="2:26" s="15" customFormat="1" x14ac:dyDescent="0.25">
      <c r="B32" s="268"/>
      <c r="C32" s="57" t="s">
        <v>220</v>
      </c>
      <c r="D32" s="144" t="s">
        <v>221</v>
      </c>
      <c r="E32" s="126">
        <v>200</v>
      </c>
      <c r="F32" s="42">
        <v>250</v>
      </c>
      <c r="G32" s="21">
        <f>E32*1.98/100</f>
        <v>3.96</v>
      </c>
      <c r="H32" s="32">
        <f>F32*1.98/100</f>
        <v>4.95</v>
      </c>
      <c r="I32" s="21">
        <f>E32*2.71/100</f>
        <v>5.42</v>
      </c>
      <c r="J32" s="32">
        <f>F32*2.71/100</f>
        <v>6.7750000000000004</v>
      </c>
      <c r="K32" s="21">
        <f>E32*5.71/100</f>
        <v>11.42</v>
      </c>
      <c r="L32" s="32">
        <f>F32*5.71/100</f>
        <v>14.275</v>
      </c>
      <c r="M32" s="22">
        <f t="shared" ref="M32:N34" si="17">G32*4+I32*9+K32*4</f>
        <v>110.30000000000001</v>
      </c>
      <c r="N32" s="40">
        <f t="shared" si="17"/>
        <v>137.875</v>
      </c>
    </row>
    <row r="33" spans="2:14" s="15" customFormat="1" x14ac:dyDescent="0.25">
      <c r="B33" s="268"/>
      <c r="C33" s="19" t="s">
        <v>63</v>
      </c>
      <c r="D33" s="9" t="s">
        <v>64</v>
      </c>
      <c r="E33" s="108">
        <v>230</v>
      </c>
      <c r="F33" s="30">
        <v>250</v>
      </c>
      <c r="G33" s="21">
        <f>E33*5.7/100</f>
        <v>13.11</v>
      </c>
      <c r="H33" s="32">
        <f>F33*5.7/100</f>
        <v>14.25</v>
      </c>
      <c r="I33" s="21">
        <f>E33*9.45/100</f>
        <v>21.734999999999999</v>
      </c>
      <c r="J33" s="32">
        <f>F33*9.45/100</f>
        <v>23.625</v>
      </c>
      <c r="K33" s="21">
        <f>E33*9.4/100</f>
        <v>21.62</v>
      </c>
      <c r="L33" s="32">
        <f>F33*9.4/100</f>
        <v>23.5</v>
      </c>
      <c r="M33" s="21">
        <f t="shared" si="17"/>
        <v>334.53500000000003</v>
      </c>
      <c r="N33" s="34">
        <f t="shared" si="17"/>
        <v>363.625</v>
      </c>
    </row>
    <row r="34" spans="2:14" x14ac:dyDescent="0.25">
      <c r="B34" s="268"/>
      <c r="C34" s="19" t="s">
        <v>46</v>
      </c>
      <c r="D34" s="9" t="s">
        <v>47</v>
      </c>
      <c r="E34" s="108">
        <v>200</v>
      </c>
      <c r="F34" s="30">
        <v>200</v>
      </c>
      <c r="G34" s="21">
        <f>E34*0.6/200</f>
        <v>0.6</v>
      </c>
      <c r="H34" s="32">
        <f>F34*0.6/200</f>
        <v>0.6</v>
      </c>
      <c r="I34" s="21">
        <f t="shared" ref="I34:J34" si="18">E34*0.1/200</f>
        <v>0.1</v>
      </c>
      <c r="J34" s="32">
        <f t="shared" si="18"/>
        <v>0.1</v>
      </c>
      <c r="K34" s="21">
        <f>E34*20.1/200</f>
        <v>20.100000000000001</v>
      </c>
      <c r="L34" s="32">
        <f>F34*20.1/200</f>
        <v>20.100000000000001</v>
      </c>
      <c r="M34" s="21">
        <f t="shared" si="17"/>
        <v>83.7</v>
      </c>
      <c r="N34" s="34">
        <f t="shared" si="17"/>
        <v>83.7</v>
      </c>
    </row>
    <row r="35" spans="2:14" x14ac:dyDescent="0.25">
      <c r="B35" s="268"/>
      <c r="C35" s="20" t="s">
        <v>71</v>
      </c>
      <c r="D35" s="6" t="s">
        <v>22</v>
      </c>
      <c r="E35" s="60">
        <v>30</v>
      </c>
      <c r="F35" s="61">
        <v>30</v>
      </c>
      <c r="G35" s="21">
        <f>E35*8/100</f>
        <v>2.4</v>
      </c>
      <c r="H35" s="32">
        <f>F35*8/100</f>
        <v>2.4</v>
      </c>
      <c r="I35" s="21">
        <f>E35*1.5/100</f>
        <v>0.45</v>
      </c>
      <c r="J35" s="32">
        <f>F35*1.5/100</f>
        <v>0.45</v>
      </c>
      <c r="K35" s="21">
        <f>E35*40.1/100</f>
        <v>12.03</v>
      </c>
      <c r="L35" s="32">
        <f>F35*40.1/100</f>
        <v>12.03</v>
      </c>
      <c r="M35" s="21">
        <f t="shared" ref="M35:N36" si="19">G35*4+I35*9+K35*4</f>
        <v>61.769999999999996</v>
      </c>
      <c r="N35" s="34">
        <f t="shared" si="19"/>
        <v>61.769999999999996</v>
      </c>
    </row>
    <row r="36" spans="2:14" s="15" customFormat="1" x14ac:dyDescent="0.25">
      <c r="B36" s="268"/>
      <c r="C36" s="20" t="s">
        <v>72</v>
      </c>
      <c r="D36" s="6" t="s">
        <v>73</v>
      </c>
      <c r="E36" s="60">
        <v>50</v>
      </c>
      <c r="F36" s="61">
        <v>50</v>
      </c>
      <c r="G36" s="21">
        <f>E36*7.6/100</f>
        <v>3.8</v>
      </c>
      <c r="H36" s="32">
        <f>F36*7.6/100</f>
        <v>3.8</v>
      </c>
      <c r="I36" s="21">
        <f>E36*0.8/100</f>
        <v>0.4</v>
      </c>
      <c r="J36" s="32">
        <f>F36*0.8/100</f>
        <v>0.4</v>
      </c>
      <c r="K36" s="21">
        <f>E36*49.2/100</f>
        <v>24.6</v>
      </c>
      <c r="L36" s="32">
        <f>F36*49.2/100</f>
        <v>24.6</v>
      </c>
      <c r="M36" s="21">
        <f t="shared" si="19"/>
        <v>117.2</v>
      </c>
      <c r="N36" s="34">
        <f t="shared" si="19"/>
        <v>117.2</v>
      </c>
    </row>
    <row r="37" spans="2:14" x14ac:dyDescent="0.25">
      <c r="B37" s="268"/>
      <c r="C37" s="20" t="s">
        <v>269</v>
      </c>
      <c r="D37" s="6" t="s">
        <v>270</v>
      </c>
      <c r="E37" s="165">
        <v>75</v>
      </c>
      <c r="F37" s="166">
        <v>75</v>
      </c>
      <c r="G37" s="167">
        <f>13/100*E37</f>
        <v>9.75</v>
      </c>
      <c r="H37" s="168">
        <f>13/100*F37</f>
        <v>9.75</v>
      </c>
      <c r="I37" s="167">
        <f>4.6/100*E37</f>
        <v>3.4499999999999997</v>
      </c>
      <c r="J37" s="168">
        <f>4.6/100*F37</f>
        <v>3.4499999999999997</v>
      </c>
      <c r="K37" s="167">
        <f>36.15/100*E37</f>
        <v>27.112500000000001</v>
      </c>
      <c r="L37" s="168">
        <f>36.15/100*F37</f>
        <v>27.112500000000001</v>
      </c>
      <c r="M37" s="167">
        <f>4*G37+9*I37+4*K37</f>
        <v>178.5</v>
      </c>
      <c r="N37" s="169">
        <f>4*H37+9*J37+4*L37</f>
        <v>178.5</v>
      </c>
    </row>
    <row r="38" spans="2:14" x14ac:dyDescent="0.25">
      <c r="B38" s="268"/>
      <c r="C38" s="20"/>
      <c r="D38" s="4" t="s">
        <v>14</v>
      </c>
      <c r="E38" s="23">
        <f t="shared" ref="E38:N38" si="20">SUM(E31:E37)</f>
        <v>845</v>
      </c>
      <c r="F38" s="37">
        <f t="shared" si="20"/>
        <v>955</v>
      </c>
      <c r="G38" s="7">
        <f t="shared" si="20"/>
        <v>34.400000000000006</v>
      </c>
      <c r="H38" s="33">
        <f t="shared" si="20"/>
        <v>37.049999999999997</v>
      </c>
      <c r="I38" s="7">
        <f t="shared" si="20"/>
        <v>34.615000000000002</v>
      </c>
      <c r="J38" s="33">
        <f t="shared" si="20"/>
        <v>39.900000000000006</v>
      </c>
      <c r="K38" s="7">
        <f t="shared" si="20"/>
        <v>119.28249999999998</v>
      </c>
      <c r="L38" s="33">
        <f t="shared" si="20"/>
        <v>125.61749999999999</v>
      </c>
      <c r="M38" s="7">
        <f t="shared" si="20"/>
        <v>926.2650000000001</v>
      </c>
      <c r="N38" s="35">
        <f t="shared" si="20"/>
        <v>1009.7700000000001</v>
      </c>
    </row>
    <row r="39" spans="2:14" ht="15.75" thickBot="1" x14ac:dyDescent="0.3">
      <c r="B39" s="269"/>
      <c r="C39" s="24"/>
      <c r="D39" s="16" t="s">
        <v>12</v>
      </c>
      <c r="E39" s="17"/>
      <c r="F39" s="38"/>
      <c r="G39" s="18">
        <f t="shared" ref="G39:N39" si="21">G29+G38</f>
        <v>42.7</v>
      </c>
      <c r="H39" s="39">
        <f t="shared" si="21"/>
        <v>46.75</v>
      </c>
      <c r="I39" s="18">
        <f t="shared" si="21"/>
        <v>52.150000000000006</v>
      </c>
      <c r="J39" s="39">
        <f t="shared" si="21"/>
        <v>59.015000000000001</v>
      </c>
      <c r="K39" s="18">
        <f t="shared" si="21"/>
        <v>163.4975</v>
      </c>
      <c r="L39" s="39">
        <f t="shared" si="21"/>
        <v>174.77249999999998</v>
      </c>
      <c r="M39" s="18">
        <f t="shared" si="21"/>
        <v>1294.1400000000001</v>
      </c>
      <c r="N39" s="41">
        <f t="shared" si="21"/>
        <v>1417.2249999999999</v>
      </c>
    </row>
    <row r="40" spans="2:14" ht="15" customHeight="1" x14ac:dyDescent="0.25">
      <c r="B40" s="261" t="s">
        <v>170</v>
      </c>
      <c r="C40" s="283" t="s">
        <v>8</v>
      </c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4"/>
    </row>
    <row r="41" spans="2:14" x14ac:dyDescent="0.25">
      <c r="B41" s="262"/>
      <c r="C41" s="145" t="s">
        <v>59</v>
      </c>
      <c r="D41" s="8" t="s">
        <v>57</v>
      </c>
      <c r="E41" s="108">
        <v>200</v>
      </c>
      <c r="F41" s="29">
        <v>200</v>
      </c>
      <c r="G41" s="21">
        <f>E41*3.63/100</f>
        <v>7.26</v>
      </c>
      <c r="H41" s="32">
        <f>F41*3.63/100</f>
        <v>7.26</v>
      </c>
      <c r="I41" s="21">
        <f>E41*3.62/100</f>
        <v>7.24</v>
      </c>
      <c r="J41" s="32">
        <f>F41*3.62/100</f>
        <v>7.24</v>
      </c>
      <c r="K41" s="21">
        <f>E41*17.42/100</f>
        <v>34.840000000000003</v>
      </c>
      <c r="L41" s="32">
        <f>F41*17.42/100</f>
        <v>34.840000000000003</v>
      </c>
      <c r="M41" s="21">
        <f t="shared" ref="M41:N45" si="22">G41*4+I41*9+K41*4</f>
        <v>233.56</v>
      </c>
      <c r="N41" s="34">
        <f t="shared" si="22"/>
        <v>233.56</v>
      </c>
    </row>
    <row r="42" spans="2:14" x14ac:dyDescent="0.25">
      <c r="B42" s="262"/>
      <c r="C42" s="145" t="s">
        <v>162</v>
      </c>
      <c r="D42" s="8" t="s">
        <v>163</v>
      </c>
      <c r="E42" s="108">
        <v>50</v>
      </c>
      <c r="F42" s="29">
        <v>50</v>
      </c>
      <c r="G42" s="21">
        <f>E42*12.7/100</f>
        <v>6.35</v>
      </c>
      <c r="H42" s="32">
        <f>F42*12.7/100</f>
        <v>6.35</v>
      </c>
      <c r="I42" s="21">
        <f>E42*11.5/100</f>
        <v>5.75</v>
      </c>
      <c r="J42" s="32">
        <f>F42*11.5/100</f>
        <v>5.75</v>
      </c>
      <c r="K42" s="21">
        <f>E42*0.07/100</f>
        <v>3.5000000000000003E-2</v>
      </c>
      <c r="L42" s="32">
        <f>F42*0.07/100</f>
        <v>3.5000000000000003E-2</v>
      </c>
      <c r="M42" s="21">
        <f t="shared" si="22"/>
        <v>77.290000000000006</v>
      </c>
      <c r="N42" s="34">
        <f t="shared" si="22"/>
        <v>77.290000000000006</v>
      </c>
    </row>
    <row r="43" spans="2:14" x14ac:dyDescent="0.25">
      <c r="B43" s="262"/>
      <c r="C43" s="145" t="s">
        <v>55</v>
      </c>
      <c r="D43" s="9" t="s">
        <v>56</v>
      </c>
      <c r="E43" s="108">
        <v>200</v>
      </c>
      <c r="F43" s="30">
        <v>200</v>
      </c>
      <c r="G43" s="21">
        <f>E43*1.65/100</f>
        <v>3.3</v>
      </c>
      <c r="H43" s="32">
        <f>F43*1.65/100</f>
        <v>3.3</v>
      </c>
      <c r="I43" s="21">
        <f>E43*1.45/100</f>
        <v>2.9</v>
      </c>
      <c r="J43" s="32">
        <f>F43*1.45/100</f>
        <v>2.9</v>
      </c>
      <c r="K43" s="21">
        <f>E43*6.9/100</f>
        <v>13.8</v>
      </c>
      <c r="L43" s="32">
        <f>F43*6.9/100</f>
        <v>13.8</v>
      </c>
      <c r="M43" s="21">
        <f t="shared" ref="M43:M44" si="23">G43*4+I43*9+K43*4</f>
        <v>94.5</v>
      </c>
      <c r="N43" s="34">
        <f t="shared" ref="N43:N44" si="24">H43*4+J43*9+L43*4</f>
        <v>94.5</v>
      </c>
    </row>
    <row r="44" spans="2:14" x14ac:dyDescent="0.25">
      <c r="B44" s="262"/>
      <c r="C44" s="20" t="s">
        <v>72</v>
      </c>
      <c r="D44" s="6" t="s">
        <v>73</v>
      </c>
      <c r="E44" s="60">
        <v>30</v>
      </c>
      <c r="F44" s="61">
        <v>30</v>
      </c>
      <c r="G44" s="21">
        <f>E44*7.6/100</f>
        <v>2.2799999999999998</v>
      </c>
      <c r="H44" s="32">
        <f>F44*7.6/100</f>
        <v>2.2799999999999998</v>
      </c>
      <c r="I44" s="21">
        <f>E44*0.8/100</f>
        <v>0.24</v>
      </c>
      <c r="J44" s="32">
        <f>F44*0.8/100</f>
        <v>0.24</v>
      </c>
      <c r="K44" s="21">
        <f>E44*49.2/100</f>
        <v>14.76</v>
      </c>
      <c r="L44" s="32">
        <f>F44*49.2/100</f>
        <v>14.76</v>
      </c>
      <c r="M44" s="21">
        <f t="shared" si="23"/>
        <v>70.319999999999993</v>
      </c>
      <c r="N44" s="34">
        <f t="shared" si="24"/>
        <v>70.319999999999993</v>
      </c>
    </row>
    <row r="45" spans="2:14" x14ac:dyDescent="0.25">
      <c r="B45" s="262"/>
      <c r="C45" s="147"/>
      <c r="D45" s="4" t="s">
        <v>13</v>
      </c>
      <c r="E45" s="23">
        <f t="shared" ref="E45:L45" si="25">SUM(E41:E44)</f>
        <v>480</v>
      </c>
      <c r="F45" s="31">
        <f t="shared" si="25"/>
        <v>480</v>
      </c>
      <c r="G45" s="7">
        <f>SUM(G41:G44)</f>
        <v>19.190000000000001</v>
      </c>
      <c r="H45" s="33">
        <f t="shared" si="25"/>
        <v>19.190000000000001</v>
      </c>
      <c r="I45" s="7">
        <f t="shared" si="25"/>
        <v>16.13</v>
      </c>
      <c r="J45" s="33">
        <f t="shared" si="25"/>
        <v>16.13</v>
      </c>
      <c r="K45" s="7">
        <f t="shared" si="25"/>
        <v>63.434999999999995</v>
      </c>
      <c r="L45" s="33">
        <f t="shared" si="25"/>
        <v>63.434999999999995</v>
      </c>
      <c r="M45" s="7">
        <f t="shared" si="22"/>
        <v>475.66999999999996</v>
      </c>
      <c r="N45" s="35">
        <f t="shared" si="22"/>
        <v>475.66999999999996</v>
      </c>
    </row>
    <row r="46" spans="2:14" x14ac:dyDescent="0.25">
      <c r="B46" s="262"/>
      <c r="C46" s="274" t="s">
        <v>9</v>
      </c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5"/>
    </row>
    <row r="47" spans="2:14" x14ac:dyDescent="0.25">
      <c r="B47" s="262"/>
      <c r="C47" s="145" t="s">
        <v>137</v>
      </c>
      <c r="D47" s="9" t="s">
        <v>138</v>
      </c>
      <c r="E47" s="126">
        <v>60</v>
      </c>
      <c r="F47" s="42">
        <v>100</v>
      </c>
      <c r="G47" s="21">
        <f>E47*1/100</f>
        <v>0.6</v>
      </c>
      <c r="H47" s="32">
        <f>F47*1/100</f>
        <v>1</v>
      </c>
      <c r="I47" s="21">
        <f>E47*5.2/100</f>
        <v>3.12</v>
      </c>
      <c r="J47" s="32">
        <f>F47*5.2/100</f>
        <v>5.2</v>
      </c>
      <c r="K47" s="21">
        <f>E47*3.6/100</f>
        <v>2.16</v>
      </c>
      <c r="L47" s="32">
        <f>F47*3.6/100</f>
        <v>3.6</v>
      </c>
      <c r="M47" s="21">
        <f t="shared" ref="M47:N54" si="26">G47*4+I47*9+K47*4</f>
        <v>39.120000000000005</v>
      </c>
      <c r="N47" s="34">
        <f t="shared" si="26"/>
        <v>65.2</v>
      </c>
    </row>
    <row r="48" spans="2:14" x14ac:dyDescent="0.25">
      <c r="B48" s="262"/>
      <c r="C48" s="145" t="s">
        <v>180</v>
      </c>
      <c r="D48" s="9" t="s">
        <v>181</v>
      </c>
      <c r="E48" s="126">
        <v>200</v>
      </c>
      <c r="F48" s="42">
        <v>250</v>
      </c>
      <c r="G48" s="22">
        <f>E48*13.5/250</f>
        <v>10.8</v>
      </c>
      <c r="H48" s="43">
        <f>F48*13.5/250</f>
        <v>13.5</v>
      </c>
      <c r="I48" s="22">
        <f>E48*3.6/250</f>
        <v>2.88</v>
      </c>
      <c r="J48" s="43">
        <f>F48*3.6/250</f>
        <v>3.6</v>
      </c>
      <c r="K48" s="22">
        <f>E48*12.5/250</f>
        <v>10</v>
      </c>
      <c r="L48" s="43">
        <f>F48*12.5/250</f>
        <v>12.5</v>
      </c>
      <c r="M48" s="22">
        <f t="shared" si="26"/>
        <v>109.12</v>
      </c>
      <c r="N48" s="40">
        <f t="shared" si="26"/>
        <v>136.4</v>
      </c>
    </row>
    <row r="49" spans="2:14" s="15" customFormat="1" x14ac:dyDescent="0.25">
      <c r="B49" s="262"/>
      <c r="C49" s="146" t="s">
        <v>192</v>
      </c>
      <c r="D49" s="6" t="s">
        <v>193</v>
      </c>
      <c r="E49" s="108">
        <v>150</v>
      </c>
      <c r="F49" s="30">
        <v>180</v>
      </c>
      <c r="G49" s="21">
        <f>E49*2.3/100</f>
        <v>3.45</v>
      </c>
      <c r="H49" s="32">
        <f>F49*2.3/100</f>
        <v>4.1399999999999997</v>
      </c>
      <c r="I49" s="108">
        <f>E49*3.7/100</f>
        <v>5.55</v>
      </c>
      <c r="J49" s="32">
        <f>F49*3.7/100</f>
        <v>6.66</v>
      </c>
      <c r="K49" s="21">
        <f>E49*23.4/100</f>
        <v>35.1</v>
      </c>
      <c r="L49" s="32">
        <f>F49*23.4/100</f>
        <v>42.12</v>
      </c>
      <c r="M49" s="21">
        <f t="shared" si="26"/>
        <v>204.15</v>
      </c>
      <c r="N49" s="34">
        <f t="shared" si="26"/>
        <v>244.98</v>
      </c>
    </row>
    <row r="50" spans="2:14" s="15" customFormat="1" x14ac:dyDescent="0.25">
      <c r="B50" s="262"/>
      <c r="C50" s="145" t="s">
        <v>194</v>
      </c>
      <c r="D50" s="9" t="s">
        <v>195</v>
      </c>
      <c r="E50" s="108">
        <v>100</v>
      </c>
      <c r="F50" s="30">
        <v>100</v>
      </c>
      <c r="G50" s="21">
        <f>E50*9.5/100</f>
        <v>9.5</v>
      </c>
      <c r="H50" s="32">
        <f>F50*9.5/100</f>
        <v>9.5</v>
      </c>
      <c r="I50" s="21">
        <f>E50*11.07/100</f>
        <v>11.07</v>
      </c>
      <c r="J50" s="32">
        <f>F50*11.07/100</f>
        <v>11.07</v>
      </c>
      <c r="K50" s="21">
        <f>E50*2.2/100</f>
        <v>2.2000000000000002</v>
      </c>
      <c r="L50" s="32">
        <f>F50*2.2/100</f>
        <v>2.2000000000000002</v>
      </c>
      <c r="M50" s="21">
        <f t="shared" si="26"/>
        <v>146.43</v>
      </c>
      <c r="N50" s="34">
        <f t="shared" si="26"/>
        <v>146.43</v>
      </c>
    </row>
    <row r="51" spans="2:14" x14ac:dyDescent="0.25">
      <c r="B51" s="262"/>
      <c r="C51" s="146" t="s">
        <v>44</v>
      </c>
      <c r="D51" s="6" t="s">
        <v>11</v>
      </c>
      <c r="E51" s="108">
        <v>200</v>
      </c>
      <c r="F51" s="30">
        <v>200</v>
      </c>
      <c r="G51" s="21">
        <f>E51*0.3/200</f>
        <v>0.3</v>
      </c>
      <c r="H51" s="32">
        <f>F51*0.3/200</f>
        <v>0.3</v>
      </c>
      <c r="I51" s="21">
        <f t="shared" ref="I51:J51" si="27">E51*0.1/200</f>
        <v>0.1</v>
      </c>
      <c r="J51" s="32">
        <f t="shared" si="27"/>
        <v>0.1</v>
      </c>
      <c r="K51" s="21">
        <f>E51*9.5/200</f>
        <v>9.5</v>
      </c>
      <c r="L51" s="32">
        <f>F51*9.5/200</f>
        <v>9.5</v>
      </c>
      <c r="M51" s="21">
        <f t="shared" si="26"/>
        <v>40.1</v>
      </c>
      <c r="N51" s="34">
        <f t="shared" si="26"/>
        <v>40.1</v>
      </c>
    </row>
    <row r="52" spans="2:14" x14ac:dyDescent="0.25">
      <c r="B52" s="262"/>
      <c r="C52" s="146" t="s">
        <v>71</v>
      </c>
      <c r="D52" s="6" t="s">
        <v>22</v>
      </c>
      <c r="E52" s="60">
        <v>30</v>
      </c>
      <c r="F52" s="61">
        <v>30</v>
      </c>
      <c r="G52" s="21">
        <f>E52*8/100</f>
        <v>2.4</v>
      </c>
      <c r="H52" s="32">
        <f>F52*8/100</f>
        <v>2.4</v>
      </c>
      <c r="I52" s="21">
        <f>E52*1.5/100</f>
        <v>0.45</v>
      </c>
      <c r="J52" s="32">
        <f>F52*1.5/100</f>
        <v>0.45</v>
      </c>
      <c r="K52" s="21">
        <f>E52*40.1/100</f>
        <v>12.03</v>
      </c>
      <c r="L52" s="32">
        <f>F52*40.1/100</f>
        <v>12.03</v>
      </c>
      <c r="M52" s="21">
        <f t="shared" si="26"/>
        <v>61.769999999999996</v>
      </c>
      <c r="N52" s="34">
        <f t="shared" si="26"/>
        <v>61.769999999999996</v>
      </c>
    </row>
    <row r="53" spans="2:14" x14ac:dyDescent="0.25">
      <c r="B53" s="262"/>
      <c r="C53" s="146" t="s">
        <v>72</v>
      </c>
      <c r="D53" s="6" t="s">
        <v>73</v>
      </c>
      <c r="E53" s="60">
        <v>50</v>
      </c>
      <c r="F53" s="61">
        <v>50</v>
      </c>
      <c r="G53" s="21">
        <f>E53*7.6/100</f>
        <v>3.8</v>
      </c>
      <c r="H53" s="32">
        <f>F53*7.6/100</f>
        <v>3.8</v>
      </c>
      <c r="I53" s="21">
        <f>E53*0.8/100</f>
        <v>0.4</v>
      </c>
      <c r="J53" s="32">
        <f>F53*0.8/100</f>
        <v>0.4</v>
      </c>
      <c r="K53" s="21">
        <f>E53*49.2/100</f>
        <v>24.6</v>
      </c>
      <c r="L53" s="32">
        <f>F53*49.2/100</f>
        <v>24.6</v>
      </c>
      <c r="M53" s="21">
        <f t="shared" si="26"/>
        <v>117.2</v>
      </c>
      <c r="N53" s="34">
        <f t="shared" si="26"/>
        <v>117.2</v>
      </c>
    </row>
    <row r="54" spans="2:14" x14ac:dyDescent="0.25">
      <c r="B54" s="262"/>
      <c r="C54" s="146" t="s">
        <v>113</v>
      </c>
      <c r="D54" s="6" t="s">
        <v>110</v>
      </c>
      <c r="E54" s="108">
        <v>100</v>
      </c>
      <c r="F54" s="30">
        <v>100</v>
      </c>
      <c r="G54" s="21">
        <f>E54*0.4/100</f>
        <v>0.4</v>
      </c>
      <c r="H54" s="32">
        <f>F54*0.4/100</f>
        <v>0.4</v>
      </c>
      <c r="I54" s="21">
        <f>E54*0.4/100</f>
        <v>0.4</v>
      </c>
      <c r="J54" s="32">
        <f>F54*0.4/100</f>
        <v>0.4</v>
      </c>
      <c r="K54" s="21">
        <f>E54*9.8/100</f>
        <v>9.8000000000000007</v>
      </c>
      <c r="L54" s="32">
        <f>F54*9.8/100</f>
        <v>9.8000000000000007</v>
      </c>
      <c r="M54" s="21">
        <f t="shared" si="26"/>
        <v>44.400000000000006</v>
      </c>
      <c r="N54" s="34">
        <f t="shared" si="26"/>
        <v>44.400000000000006</v>
      </c>
    </row>
    <row r="55" spans="2:14" x14ac:dyDescent="0.25">
      <c r="B55" s="262"/>
      <c r="C55" s="146"/>
      <c r="D55" s="4" t="s">
        <v>14</v>
      </c>
      <c r="E55" s="23">
        <f t="shared" ref="E55:N55" si="28">SUM(E47:E54)</f>
        <v>890</v>
      </c>
      <c r="F55" s="37">
        <f t="shared" si="28"/>
        <v>1010</v>
      </c>
      <c r="G55" s="7">
        <f t="shared" si="28"/>
        <v>31.25</v>
      </c>
      <c r="H55" s="33">
        <f t="shared" si="28"/>
        <v>35.04</v>
      </c>
      <c r="I55" s="23">
        <f t="shared" si="28"/>
        <v>23.97</v>
      </c>
      <c r="J55" s="33">
        <f t="shared" si="28"/>
        <v>27.88</v>
      </c>
      <c r="K55" s="23">
        <f t="shared" si="28"/>
        <v>105.39</v>
      </c>
      <c r="L55" s="33">
        <f t="shared" si="28"/>
        <v>116.35000000000001</v>
      </c>
      <c r="M55" s="7">
        <f t="shared" si="28"/>
        <v>762.29</v>
      </c>
      <c r="N55" s="35">
        <f t="shared" si="28"/>
        <v>856.48</v>
      </c>
    </row>
    <row r="56" spans="2:14" ht="15.75" thickBot="1" x14ac:dyDescent="0.3">
      <c r="B56" s="262"/>
      <c r="C56" s="148"/>
      <c r="D56" s="63" t="s">
        <v>12</v>
      </c>
      <c r="E56" s="67"/>
      <c r="F56" s="68"/>
      <c r="G56" s="64">
        <f t="shared" ref="G56:N56" si="29">G45+G55</f>
        <v>50.44</v>
      </c>
      <c r="H56" s="65">
        <f t="shared" si="29"/>
        <v>54.230000000000004</v>
      </c>
      <c r="I56" s="64">
        <f t="shared" si="29"/>
        <v>40.099999999999994</v>
      </c>
      <c r="J56" s="65">
        <f t="shared" si="29"/>
        <v>44.01</v>
      </c>
      <c r="K56" s="64">
        <f t="shared" si="29"/>
        <v>168.82499999999999</v>
      </c>
      <c r="L56" s="65">
        <f t="shared" si="29"/>
        <v>179.785</v>
      </c>
      <c r="M56" s="64">
        <f t="shared" si="29"/>
        <v>1237.96</v>
      </c>
      <c r="N56" s="66">
        <f t="shared" si="29"/>
        <v>1332.15</v>
      </c>
    </row>
    <row r="57" spans="2:14" s="15" customFormat="1" x14ac:dyDescent="0.25">
      <c r="B57" s="262"/>
      <c r="C57" s="280" t="s">
        <v>259</v>
      </c>
      <c r="D57" s="281"/>
      <c r="E57" s="281"/>
      <c r="F57" s="281"/>
      <c r="G57" s="281"/>
      <c r="H57" s="281"/>
      <c r="I57" s="281"/>
      <c r="J57" s="281"/>
      <c r="K57" s="281"/>
      <c r="L57" s="281"/>
      <c r="M57" s="281"/>
      <c r="N57" s="282"/>
    </row>
    <row r="58" spans="2:14" s="15" customFormat="1" ht="15.75" thickBot="1" x14ac:dyDescent="0.3">
      <c r="B58" s="263"/>
      <c r="C58" s="24" t="s">
        <v>260</v>
      </c>
      <c r="D58" s="149" t="s">
        <v>261</v>
      </c>
      <c r="E58" s="17">
        <v>230</v>
      </c>
      <c r="F58" s="38">
        <v>250</v>
      </c>
      <c r="G58" s="150">
        <f>E58*8.1/100</f>
        <v>18.63</v>
      </c>
      <c r="H58" s="151">
        <f>F58*8.1/100</f>
        <v>20.25</v>
      </c>
      <c r="I58" s="17">
        <f>E58*7.9/100</f>
        <v>18.170000000000002</v>
      </c>
      <c r="J58" s="38">
        <f>F58*7.9/100</f>
        <v>19.75</v>
      </c>
      <c r="K58" s="150">
        <f>E58*18.1/100</f>
        <v>41.63</v>
      </c>
      <c r="L58" s="151">
        <f>F58*18.1/100</f>
        <v>45.25</v>
      </c>
      <c r="M58" s="150">
        <f t="shared" ref="M58:N58" si="30">G58*4+I58*9+K58*4</f>
        <v>404.57000000000005</v>
      </c>
      <c r="N58" s="152">
        <f t="shared" si="30"/>
        <v>439.75</v>
      </c>
    </row>
    <row r="59" spans="2:14" x14ac:dyDescent="0.25">
      <c r="J59" s="1"/>
    </row>
  </sheetData>
  <mergeCells count="20">
    <mergeCell ref="C57:N57"/>
    <mergeCell ref="B40:B58"/>
    <mergeCell ref="M3:N4"/>
    <mergeCell ref="G4:H4"/>
    <mergeCell ref="I4:J4"/>
    <mergeCell ref="K4:L4"/>
    <mergeCell ref="G3:L3"/>
    <mergeCell ref="C40:N40"/>
    <mergeCell ref="C46:N46"/>
    <mergeCell ref="C6:N6"/>
    <mergeCell ref="C13:N13"/>
    <mergeCell ref="C24:N24"/>
    <mergeCell ref="C30:N30"/>
    <mergeCell ref="B6:B23"/>
    <mergeCell ref="B24:B39"/>
    <mergeCell ref="B2:E2"/>
    <mergeCell ref="B3:B5"/>
    <mergeCell ref="C3:C5"/>
    <mergeCell ref="D3:D5"/>
    <mergeCell ref="E3:F4"/>
  </mergeCells>
  <pageMargins left="0.23622047244094491" right="0.23622047244094491" top="0.19685039370078741" bottom="0.19685039370078741" header="0.31496062992125984" footer="0.31496062992125984"/>
  <pageSetup paperSize="9" scale="69" fitToHeight="0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B1:Z83"/>
  <sheetViews>
    <sheetView tabSelected="1" zoomScale="90" zoomScaleNormal="90" zoomScalePageLayoutView="90" workbookViewId="0">
      <selection activeCell="C22" sqref="C22:N22"/>
    </sheetView>
  </sheetViews>
  <sheetFormatPr defaultRowHeight="15" x14ac:dyDescent="0.25"/>
  <cols>
    <col min="1" max="1" width="5.85546875" style="15" customWidth="1"/>
    <col min="2" max="2" width="2.7109375" style="15" customWidth="1"/>
    <col min="3" max="3" width="10.5703125" style="15" customWidth="1"/>
    <col min="4" max="4" width="42.140625" style="15" customWidth="1"/>
    <col min="5" max="6" width="7.28515625" style="15" customWidth="1"/>
    <col min="7" max="7" width="6.7109375" style="15" customWidth="1"/>
    <col min="8" max="8" width="6.85546875" style="15" customWidth="1"/>
    <col min="9" max="9" width="6.42578125" style="15" customWidth="1"/>
    <col min="10" max="10" width="6.5703125" style="15" customWidth="1"/>
    <col min="11" max="11" width="7.5703125" style="15" customWidth="1"/>
    <col min="12" max="12" width="7.42578125" style="15" customWidth="1"/>
    <col min="13" max="13" width="8.5703125" style="15" customWidth="1"/>
    <col min="14" max="14" width="7.5703125" style="15" customWidth="1"/>
    <col min="15" max="15" width="9" style="15" customWidth="1"/>
    <col min="16" max="16" width="7.28515625" style="15" customWidth="1"/>
    <col min="17" max="20" width="9.140625" style="15"/>
    <col min="21" max="21" width="19.7109375" style="15" customWidth="1"/>
    <col min="22" max="22" width="7.7109375" style="15" customWidth="1"/>
    <col min="23" max="23" width="9.140625" style="15"/>
    <col min="24" max="24" width="7.7109375" style="15" customWidth="1"/>
    <col min="25" max="16384" width="9.140625" style="15"/>
  </cols>
  <sheetData>
    <row r="1" spans="2:26" ht="23.25" customHeight="1" x14ac:dyDescent="0.25"/>
    <row r="2" spans="2:26" ht="16.5" customHeight="1" thickBot="1" x14ac:dyDescent="0.3">
      <c r="B2" s="279"/>
      <c r="C2" s="279"/>
      <c r="D2" s="279"/>
      <c r="E2" s="279"/>
      <c r="O2" s="2"/>
      <c r="P2" s="2"/>
      <c r="Q2" s="1"/>
      <c r="R2" s="1"/>
      <c r="S2" s="1"/>
      <c r="T2" s="1"/>
      <c r="U2" s="2"/>
      <c r="V2" s="2"/>
      <c r="W2" s="1"/>
      <c r="X2" s="1"/>
      <c r="Y2" s="1"/>
      <c r="Z2" s="1"/>
    </row>
    <row r="3" spans="2:26" ht="15" customHeight="1" x14ac:dyDescent="0.25">
      <c r="B3" s="276" t="s">
        <v>199</v>
      </c>
      <c r="C3" s="241" t="s">
        <v>0</v>
      </c>
      <c r="D3" s="244" t="s">
        <v>1</v>
      </c>
      <c r="E3" s="247" t="s">
        <v>6</v>
      </c>
      <c r="F3" s="248"/>
      <c r="G3" s="251" t="s">
        <v>7</v>
      </c>
      <c r="H3" s="251"/>
      <c r="I3" s="251"/>
      <c r="J3" s="251"/>
      <c r="K3" s="251"/>
      <c r="L3" s="251"/>
      <c r="M3" s="252" t="s">
        <v>5</v>
      </c>
      <c r="N3" s="253"/>
      <c r="O3" s="1"/>
      <c r="P3" s="3"/>
      <c r="Q3" s="5"/>
      <c r="R3" s="5"/>
      <c r="S3" s="5"/>
      <c r="T3" s="5"/>
      <c r="U3" s="1"/>
      <c r="V3" s="3"/>
      <c r="W3" s="5"/>
      <c r="X3" s="5"/>
      <c r="Y3" s="5"/>
      <c r="Z3" s="5"/>
    </row>
    <row r="4" spans="2:26" x14ac:dyDescent="0.25">
      <c r="B4" s="277"/>
      <c r="C4" s="242"/>
      <c r="D4" s="245"/>
      <c r="E4" s="249"/>
      <c r="F4" s="250"/>
      <c r="G4" s="256" t="s">
        <v>3</v>
      </c>
      <c r="H4" s="256"/>
      <c r="I4" s="254" t="s">
        <v>2</v>
      </c>
      <c r="J4" s="254"/>
      <c r="K4" s="256" t="s">
        <v>4</v>
      </c>
      <c r="L4" s="256"/>
      <c r="M4" s="254"/>
      <c r="N4" s="255"/>
      <c r="O4" s="1"/>
      <c r="P4" s="3"/>
      <c r="Q4" s="5"/>
      <c r="R4" s="5"/>
      <c r="S4" s="5"/>
      <c r="T4" s="5"/>
      <c r="U4" s="1"/>
      <c r="V4" s="3"/>
      <c r="W4" s="5"/>
      <c r="X4" s="5"/>
      <c r="Y4" s="5"/>
      <c r="Z4" s="5"/>
    </row>
    <row r="5" spans="2:26" ht="22.5" customHeight="1" thickBot="1" x14ac:dyDescent="0.3">
      <c r="B5" s="278"/>
      <c r="C5" s="243"/>
      <c r="D5" s="246"/>
      <c r="E5" s="26" t="s">
        <v>15</v>
      </c>
      <c r="F5" s="27" t="s">
        <v>43</v>
      </c>
      <c r="G5" s="26" t="s">
        <v>15</v>
      </c>
      <c r="H5" s="27" t="s">
        <v>43</v>
      </c>
      <c r="I5" s="26" t="s">
        <v>15</v>
      </c>
      <c r="J5" s="27" t="s">
        <v>43</v>
      </c>
      <c r="K5" s="26" t="s">
        <v>15</v>
      </c>
      <c r="L5" s="27" t="s">
        <v>43</v>
      </c>
      <c r="M5" s="26" t="s">
        <v>15</v>
      </c>
      <c r="N5" s="28" t="s">
        <v>43</v>
      </c>
      <c r="O5" s="1"/>
      <c r="P5" s="3"/>
      <c r="Q5" s="5"/>
      <c r="R5" s="5"/>
      <c r="S5" s="5"/>
      <c r="T5" s="5"/>
      <c r="U5" s="1"/>
      <c r="V5" s="3"/>
      <c r="W5" s="5"/>
      <c r="X5" s="5"/>
      <c r="Y5" s="5"/>
      <c r="Z5" s="5"/>
    </row>
    <row r="6" spans="2:26" x14ac:dyDescent="0.25">
      <c r="B6" s="267" t="s">
        <v>171</v>
      </c>
      <c r="C6" s="238" t="s">
        <v>8</v>
      </c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40"/>
    </row>
    <row r="7" spans="2:26" x14ac:dyDescent="0.25">
      <c r="B7" s="268"/>
      <c r="C7" s="19" t="s">
        <v>182</v>
      </c>
      <c r="D7" s="9" t="s">
        <v>183</v>
      </c>
      <c r="E7" s="108">
        <v>200</v>
      </c>
      <c r="F7" s="29">
        <v>200</v>
      </c>
      <c r="G7" s="21">
        <f>E7*2.5/100</f>
        <v>5</v>
      </c>
      <c r="H7" s="32">
        <f>F7*2.5/100</f>
        <v>5</v>
      </c>
      <c r="I7" s="21">
        <f>E7*3.2/100</f>
        <v>6.4</v>
      </c>
      <c r="J7" s="32">
        <f>F7*3.2/100</f>
        <v>6.4</v>
      </c>
      <c r="K7" s="21">
        <f>E7*13.45/100</f>
        <v>26.9</v>
      </c>
      <c r="L7" s="32">
        <f>F7*13.46/100</f>
        <v>26.92</v>
      </c>
      <c r="M7" s="21">
        <f t="shared" ref="M7:N7" si="0">G7*4+I7*9+K7*4</f>
        <v>185.2</v>
      </c>
      <c r="N7" s="34">
        <f t="shared" si="0"/>
        <v>185.28</v>
      </c>
      <c r="Q7" s="15" t="s">
        <v>24</v>
      </c>
    </row>
    <row r="8" spans="2:26" x14ac:dyDescent="0.25">
      <c r="B8" s="268"/>
      <c r="C8" s="89" t="s">
        <v>111</v>
      </c>
      <c r="D8" s="90" t="s">
        <v>112</v>
      </c>
      <c r="E8" s="108">
        <v>10</v>
      </c>
      <c r="F8" s="88">
        <v>15</v>
      </c>
      <c r="G8" s="21">
        <f>E8*0.8/100</f>
        <v>0.08</v>
      </c>
      <c r="H8" s="32">
        <f>F8*0.8/100</f>
        <v>0.12</v>
      </c>
      <c r="I8" s="21">
        <f>E8*72.5/100</f>
        <v>7.25</v>
      </c>
      <c r="J8" s="32">
        <f>F8*72.5/100</f>
        <v>10.875</v>
      </c>
      <c r="K8" s="21">
        <f>E8*1.3/100</f>
        <v>0.13</v>
      </c>
      <c r="L8" s="32">
        <f>F8*1.3/100</f>
        <v>0.19500000000000001</v>
      </c>
      <c r="M8" s="21">
        <f t="shared" ref="M8:N11" si="1">G8*4+I8*9+K8*4</f>
        <v>66.089999999999989</v>
      </c>
      <c r="N8" s="34">
        <f t="shared" si="1"/>
        <v>99.135000000000005</v>
      </c>
    </row>
    <row r="9" spans="2:26" x14ac:dyDescent="0.25">
      <c r="B9" s="268"/>
      <c r="C9" s="20" t="s">
        <v>184</v>
      </c>
      <c r="D9" s="6" t="s">
        <v>185</v>
      </c>
      <c r="E9" s="108">
        <v>200</v>
      </c>
      <c r="F9" s="30">
        <v>200</v>
      </c>
      <c r="G9" s="21">
        <f>E9*1.6/200</f>
        <v>1.6</v>
      </c>
      <c r="H9" s="32">
        <f>F9*1.6/200</f>
        <v>1.6</v>
      </c>
      <c r="I9" s="21">
        <f>E9*1.3/200</f>
        <v>1.3</v>
      </c>
      <c r="J9" s="32">
        <f>F9*1.3/200</f>
        <v>1.3</v>
      </c>
      <c r="K9" s="21">
        <f>E9*11.5/200</f>
        <v>11.5</v>
      </c>
      <c r="L9" s="32">
        <f>F9*11.5/200</f>
        <v>11.5</v>
      </c>
      <c r="M9" s="21">
        <f t="shared" si="1"/>
        <v>64.099999999999994</v>
      </c>
      <c r="N9" s="34">
        <f t="shared" si="1"/>
        <v>64.099999999999994</v>
      </c>
    </row>
    <row r="10" spans="2:26" x14ac:dyDescent="0.25">
      <c r="B10" s="268"/>
      <c r="C10" s="20" t="s">
        <v>126</v>
      </c>
      <c r="D10" s="95" t="s">
        <v>127</v>
      </c>
      <c r="E10" s="60">
        <v>30</v>
      </c>
      <c r="F10" s="61">
        <v>30</v>
      </c>
      <c r="G10" s="96">
        <f>E10*7.5/100</f>
        <v>2.25</v>
      </c>
      <c r="H10" s="43">
        <f>F10*7.5/100</f>
        <v>2.25</v>
      </c>
      <c r="I10" s="97">
        <f>E10*2.9/100</f>
        <v>0.87</v>
      </c>
      <c r="J10" s="32">
        <f>F10*2.9/100</f>
        <v>0.87</v>
      </c>
      <c r="K10" s="97">
        <f>E10*51.4/100</f>
        <v>15.42</v>
      </c>
      <c r="L10" s="32">
        <f>F10*51.4/100</f>
        <v>15.42</v>
      </c>
      <c r="M10" s="97">
        <f t="shared" si="1"/>
        <v>78.509999999999991</v>
      </c>
      <c r="N10" s="34">
        <f t="shared" si="1"/>
        <v>78.509999999999991</v>
      </c>
    </row>
    <row r="11" spans="2:26" x14ac:dyDescent="0.25">
      <c r="B11" s="268"/>
      <c r="C11" s="20" t="s">
        <v>72</v>
      </c>
      <c r="D11" s="6" t="s">
        <v>73</v>
      </c>
      <c r="E11" s="60">
        <v>30</v>
      </c>
      <c r="F11" s="61">
        <v>30</v>
      </c>
      <c r="G11" s="21">
        <f>E11*7.6/100</f>
        <v>2.2799999999999998</v>
      </c>
      <c r="H11" s="32">
        <f>F11*7.6/100</f>
        <v>2.2799999999999998</v>
      </c>
      <c r="I11" s="21">
        <f>E11*0.8/100</f>
        <v>0.24</v>
      </c>
      <c r="J11" s="32">
        <f>F11*0.8/100</f>
        <v>0.24</v>
      </c>
      <c r="K11" s="21">
        <f>E11*49.2/100</f>
        <v>14.76</v>
      </c>
      <c r="L11" s="32">
        <f>F11*49.2/100</f>
        <v>14.76</v>
      </c>
      <c r="M11" s="21">
        <f t="shared" si="1"/>
        <v>70.319999999999993</v>
      </c>
      <c r="N11" s="34">
        <f t="shared" si="1"/>
        <v>70.319999999999993</v>
      </c>
    </row>
    <row r="12" spans="2:26" x14ac:dyDescent="0.25">
      <c r="B12" s="268"/>
      <c r="C12" s="25"/>
      <c r="D12" s="4" t="s">
        <v>13</v>
      </c>
      <c r="E12" s="23">
        <f t="shared" ref="E12:L12" si="2">SUM(E7:E11)</f>
        <v>470</v>
      </c>
      <c r="F12" s="31">
        <f t="shared" si="2"/>
        <v>475</v>
      </c>
      <c r="G12" s="7">
        <f t="shared" si="2"/>
        <v>11.209999999999999</v>
      </c>
      <c r="H12" s="33">
        <f t="shared" si="2"/>
        <v>11.25</v>
      </c>
      <c r="I12" s="7">
        <f t="shared" si="2"/>
        <v>16.059999999999999</v>
      </c>
      <c r="J12" s="33">
        <f t="shared" si="2"/>
        <v>19.684999999999999</v>
      </c>
      <c r="K12" s="7">
        <f t="shared" si="2"/>
        <v>68.710000000000008</v>
      </c>
      <c r="L12" s="33">
        <f t="shared" si="2"/>
        <v>68.795000000000002</v>
      </c>
      <c r="M12" s="7">
        <f t="shared" ref="M12:N12" si="3">G12*4+I12*9+K12*4</f>
        <v>464.22</v>
      </c>
      <c r="N12" s="35">
        <f t="shared" si="3"/>
        <v>497.34500000000003</v>
      </c>
    </row>
    <row r="13" spans="2:26" x14ac:dyDescent="0.25">
      <c r="B13" s="268"/>
      <c r="C13" s="273" t="s">
        <v>9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5"/>
    </row>
    <row r="14" spans="2:26" x14ac:dyDescent="0.25">
      <c r="B14" s="268"/>
      <c r="C14" s="19" t="s">
        <v>82</v>
      </c>
      <c r="D14" s="9" t="s">
        <v>83</v>
      </c>
      <c r="E14" s="134">
        <v>60</v>
      </c>
      <c r="F14" s="42">
        <v>100</v>
      </c>
      <c r="G14" s="22">
        <f>E14*0.7/100</f>
        <v>0.42</v>
      </c>
      <c r="H14" s="43">
        <f>F14*0.7/100</f>
        <v>0.7</v>
      </c>
      <c r="I14" s="22">
        <f>E14*0.1/100</f>
        <v>0.06</v>
      </c>
      <c r="J14" s="43">
        <f>F14*0.1/100</f>
        <v>0.1</v>
      </c>
      <c r="K14" s="22">
        <f>E14*1.9/100</f>
        <v>1.1399999999999999</v>
      </c>
      <c r="L14" s="43">
        <f>F14*1.9/100</f>
        <v>1.9</v>
      </c>
      <c r="M14" s="22">
        <f t="shared" ref="M14:N15" si="4">G14*4+I14*9+K14*4</f>
        <v>6.7799999999999994</v>
      </c>
      <c r="N14" s="40">
        <f t="shared" si="4"/>
        <v>11.299999999999999</v>
      </c>
    </row>
    <row r="15" spans="2:26" x14ac:dyDescent="0.25">
      <c r="B15" s="268"/>
      <c r="C15" s="19" t="s">
        <v>21</v>
      </c>
      <c r="D15" s="130" t="s">
        <v>62</v>
      </c>
      <c r="E15" s="134">
        <v>200</v>
      </c>
      <c r="F15" s="42">
        <v>250</v>
      </c>
      <c r="G15" s="21">
        <f>E15*1.77/100</f>
        <v>3.54</v>
      </c>
      <c r="H15" s="32">
        <f>F15*1.77/100</f>
        <v>4.4249999999999998</v>
      </c>
      <c r="I15" s="21">
        <f>E15*2.89/100</f>
        <v>5.78</v>
      </c>
      <c r="J15" s="32">
        <f>F15*2.89/100</f>
        <v>7.2249999999999996</v>
      </c>
      <c r="K15" s="21">
        <f>E15*4.47/100</f>
        <v>8.94</v>
      </c>
      <c r="L15" s="32">
        <f>F15*4.47/100</f>
        <v>11.175000000000001</v>
      </c>
      <c r="M15" s="21">
        <f t="shared" si="4"/>
        <v>101.94</v>
      </c>
      <c r="N15" s="34">
        <f>H15*4+J15*9+L15*4</f>
        <v>127.425</v>
      </c>
    </row>
    <row r="16" spans="2:26" x14ac:dyDescent="0.25">
      <c r="B16" s="268"/>
      <c r="C16" s="19" t="s">
        <v>19</v>
      </c>
      <c r="D16" s="9" t="s">
        <v>20</v>
      </c>
      <c r="E16" s="108">
        <v>150</v>
      </c>
      <c r="F16" s="30">
        <v>180</v>
      </c>
      <c r="G16" s="21">
        <f>E16*2.1/100</f>
        <v>3.15</v>
      </c>
      <c r="H16" s="32">
        <f>F16*2.1/100</f>
        <v>3.78</v>
      </c>
      <c r="I16" s="21">
        <f>E16*3.5/100</f>
        <v>5.25</v>
      </c>
      <c r="J16" s="32">
        <f>F16*3.5/100</f>
        <v>6.3</v>
      </c>
      <c r="K16" s="21">
        <f>E16*14.6/100</f>
        <v>21.9</v>
      </c>
      <c r="L16" s="32">
        <f>F16*14.6/100</f>
        <v>26.28</v>
      </c>
      <c r="M16" s="21">
        <f t="shared" ref="M16:N19" si="5">G16*4+I16*9+K16*4</f>
        <v>147.44999999999999</v>
      </c>
      <c r="N16" s="34">
        <f t="shared" si="5"/>
        <v>176.94</v>
      </c>
    </row>
    <row r="17" spans="2:18" x14ac:dyDescent="0.25">
      <c r="B17" s="268"/>
      <c r="C17" s="19" t="s">
        <v>186</v>
      </c>
      <c r="D17" s="9" t="s">
        <v>187</v>
      </c>
      <c r="E17" s="108">
        <v>100</v>
      </c>
      <c r="F17" s="30">
        <v>100</v>
      </c>
      <c r="G17" s="21">
        <f>E17*6.33/100</f>
        <v>6.33</v>
      </c>
      <c r="H17" s="32">
        <f>F17*6.33/100</f>
        <v>6.33</v>
      </c>
      <c r="I17" s="21">
        <f>E17*14.65/100</f>
        <v>14.65</v>
      </c>
      <c r="J17" s="32">
        <f>F17*14.65/100</f>
        <v>14.65</v>
      </c>
      <c r="K17" s="21">
        <f>E17*10.55/100</f>
        <v>10.55</v>
      </c>
      <c r="L17" s="32">
        <f>F17*10.55/100</f>
        <v>10.55</v>
      </c>
      <c r="M17" s="21">
        <f t="shared" si="5"/>
        <v>199.37</v>
      </c>
      <c r="N17" s="34">
        <f t="shared" si="5"/>
        <v>199.37</v>
      </c>
    </row>
    <row r="18" spans="2:18" x14ac:dyDescent="0.25">
      <c r="B18" s="268"/>
      <c r="C18" s="19" t="s">
        <v>60</v>
      </c>
      <c r="D18" s="9" t="s">
        <v>61</v>
      </c>
      <c r="E18" s="108">
        <v>50</v>
      </c>
      <c r="F18" s="30">
        <v>50</v>
      </c>
      <c r="G18" s="21">
        <f>E18*1.3/50</f>
        <v>1.3</v>
      </c>
      <c r="H18" s="32">
        <f>F18*1.3/50</f>
        <v>1.3</v>
      </c>
      <c r="I18" s="21">
        <f>E18*4.8/50</f>
        <v>4.8</v>
      </c>
      <c r="J18" s="32">
        <f>F18*4.8/50</f>
        <v>4.8</v>
      </c>
      <c r="K18" s="21">
        <f>E18*4.7/50</f>
        <v>4.7</v>
      </c>
      <c r="L18" s="32">
        <f>F18*4.7/50</f>
        <v>4.7</v>
      </c>
      <c r="M18" s="21">
        <f t="shared" si="5"/>
        <v>67.2</v>
      </c>
      <c r="N18" s="34">
        <f t="shared" si="5"/>
        <v>67.2</v>
      </c>
    </row>
    <row r="19" spans="2:18" x14ac:dyDescent="0.25">
      <c r="B19" s="268"/>
      <c r="C19" s="20" t="s">
        <v>76</v>
      </c>
      <c r="D19" s="6" t="s">
        <v>141</v>
      </c>
      <c r="E19" s="108">
        <v>200</v>
      </c>
      <c r="F19" s="30">
        <v>200</v>
      </c>
      <c r="G19" s="21">
        <f>E19*0.15/100</f>
        <v>0.3</v>
      </c>
      <c r="H19" s="32">
        <f>F19*0.15/100</f>
        <v>0.3</v>
      </c>
      <c r="I19" s="21">
        <f>E19*0.005/100</f>
        <v>0.01</v>
      </c>
      <c r="J19" s="32">
        <f>F19*0.005/100</f>
        <v>0.01</v>
      </c>
      <c r="K19" s="21">
        <f>E19*8.75/100</f>
        <v>17.5</v>
      </c>
      <c r="L19" s="32">
        <f>F19*8.75/100</f>
        <v>17.5</v>
      </c>
      <c r="M19" s="21">
        <f t="shared" si="5"/>
        <v>71.290000000000006</v>
      </c>
      <c r="N19" s="34">
        <f t="shared" si="5"/>
        <v>71.290000000000006</v>
      </c>
    </row>
    <row r="20" spans="2:18" x14ac:dyDescent="0.25">
      <c r="B20" s="268"/>
      <c r="C20" s="20" t="s">
        <v>71</v>
      </c>
      <c r="D20" s="6" t="s">
        <v>22</v>
      </c>
      <c r="E20" s="60">
        <v>20</v>
      </c>
      <c r="F20" s="61">
        <v>20</v>
      </c>
      <c r="G20" s="21">
        <f>E20*8/100</f>
        <v>1.6</v>
      </c>
      <c r="H20" s="32">
        <f>F20*8/100</f>
        <v>1.6</v>
      </c>
      <c r="I20" s="21">
        <f>E20*1.5/100</f>
        <v>0.3</v>
      </c>
      <c r="J20" s="32">
        <f>F20*1.5/100</f>
        <v>0.3</v>
      </c>
      <c r="K20" s="21">
        <f>E20*40.1/100</f>
        <v>8.02</v>
      </c>
      <c r="L20" s="32">
        <f>F20*40.1/100</f>
        <v>8.02</v>
      </c>
      <c r="M20" s="21">
        <f t="shared" ref="M20:N21" si="6">G20*4+I20*9+K20*4</f>
        <v>41.18</v>
      </c>
      <c r="N20" s="34">
        <f t="shared" si="6"/>
        <v>41.18</v>
      </c>
    </row>
    <row r="21" spans="2:18" x14ac:dyDescent="0.25">
      <c r="B21" s="268"/>
      <c r="C21" s="20" t="s">
        <v>72</v>
      </c>
      <c r="D21" s="6" t="s">
        <v>73</v>
      </c>
      <c r="E21" s="60">
        <v>30</v>
      </c>
      <c r="F21" s="61">
        <v>30</v>
      </c>
      <c r="G21" s="21">
        <f>E21*7.6/100</f>
        <v>2.2799999999999998</v>
      </c>
      <c r="H21" s="32">
        <f>F21*7.6/100</f>
        <v>2.2799999999999998</v>
      </c>
      <c r="I21" s="21">
        <f>E21*0.8/100</f>
        <v>0.24</v>
      </c>
      <c r="J21" s="32">
        <f>F21*0.8/100</f>
        <v>0.24</v>
      </c>
      <c r="K21" s="21">
        <f>E21*49.2/100</f>
        <v>14.76</v>
      </c>
      <c r="L21" s="32">
        <f>F21*49.2/100</f>
        <v>14.76</v>
      </c>
      <c r="M21" s="21">
        <f t="shared" si="6"/>
        <v>70.319999999999993</v>
      </c>
      <c r="N21" s="34">
        <f t="shared" si="6"/>
        <v>70.319999999999993</v>
      </c>
    </row>
    <row r="22" spans="2:18" x14ac:dyDescent="0.25">
      <c r="B22" s="268"/>
      <c r="C22" s="20" t="s">
        <v>269</v>
      </c>
      <c r="D22" s="6" t="s">
        <v>270</v>
      </c>
      <c r="E22" s="165">
        <v>75</v>
      </c>
      <c r="F22" s="166">
        <v>75</v>
      </c>
      <c r="G22" s="167">
        <f>13/100*E22</f>
        <v>9.75</v>
      </c>
      <c r="H22" s="168">
        <f>13/100*F22</f>
        <v>9.75</v>
      </c>
      <c r="I22" s="167">
        <f>4.6/100*E22</f>
        <v>3.4499999999999997</v>
      </c>
      <c r="J22" s="168">
        <f>4.6/100*F22</f>
        <v>3.4499999999999997</v>
      </c>
      <c r="K22" s="167">
        <f>36.15/100*E22</f>
        <v>27.112500000000001</v>
      </c>
      <c r="L22" s="168">
        <f>36.15/100*F22</f>
        <v>27.112500000000001</v>
      </c>
      <c r="M22" s="167">
        <f>4*G22+9*I22+4*K22</f>
        <v>178.5</v>
      </c>
      <c r="N22" s="169">
        <f>4*H22+9*J22+4*L22</f>
        <v>178.5</v>
      </c>
    </row>
    <row r="23" spans="2:18" x14ac:dyDescent="0.25">
      <c r="B23" s="268"/>
      <c r="C23" s="20"/>
      <c r="D23" s="4" t="s">
        <v>14</v>
      </c>
      <c r="E23" s="23">
        <f>SUM(E14:E22)</f>
        <v>885</v>
      </c>
      <c r="F23" s="135">
        <f t="shared" ref="F23:N23" si="7">SUM(F14:F22)</f>
        <v>1005</v>
      </c>
      <c r="G23" s="7">
        <f t="shared" si="7"/>
        <v>28.67</v>
      </c>
      <c r="H23" s="33">
        <f t="shared" si="7"/>
        <v>30.465000000000003</v>
      </c>
      <c r="I23" s="7">
        <f t="shared" si="7"/>
        <v>34.540000000000006</v>
      </c>
      <c r="J23" s="33">
        <f t="shared" si="7"/>
        <v>37.074999999999996</v>
      </c>
      <c r="K23" s="7">
        <f t="shared" si="7"/>
        <v>114.6225</v>
      </c>
      <c r="L23" s="33">
        <f t="shared" si="7"/>
        <v>121.9975</v>
      </c>
      <c r="M23" s="7">
        <f>SUM(M14:M22)</f>
        <v>884.03</v>
      </c>
      <c r="N23" s="35">
        <f t="shared" si="7"/>
        <v>943.52499999999986</v>
      </c>
    </row>
    <row r="24" spans="2:18" ht="15.75" thickBot="1" x14ac:dyDescent="0.3">
      <c r="B24" s="269"/>
      <c r="C24" s="24"/>
      <c r="D24" s="16" t="s">
        <v>12</v>
      </c>
      <c r="E24" s="17"/>
      <c r="F24" s="38"/>
      <c r="G24" s="18">
        <f t="shared" ref="G24:N24" si="8">G12+G23</f>
        <v>39.880000000000003</v>
      </c>
      <c r="H24" s="39">
        <f t="shared" si="8"/>
        <v>41.715000000000003</v>
      </c>
      <c r="I24" s="18">
        <f t="shared" si="8"/>
        <v>50.600000000000009</v>
      </c>
      <c r="J24" s="39">
        <f t="shared" si="8"/>
        <v>56.759999999999991</v>
      </c>
      <c r="K24" s="18">
        <f t="shared" si="8"/>
        <v>183.33250000000001</v>
      </c>
      <c r="L24" s="39">
        <f t="shared" si="8"/>
        <v>190.79250000000002</v>
      </c>
      <c r="M24" s="18">
        <f t="shared" si="8"/>
        <v>1348.25</v>
      </c>
      <c r="N24" s="41">
        <f t="shared" si="8"/>
        <v>1440.87</v>
      </c>
    </row>
    <row r="25" spans="2:18" x14ac:dyDescent="0.25">
      <c r="B25" s="267" t="s">
        <v>203</v>
      </c>
      <c r="C25" s="235" t="s">
        <v>8</v>
      </c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7"/>
    </row>
    <row r="26" spans="2:18" x14ac:dyDescent="0.25">
      <c r="B26" s="268"/>
      <c r="C26" s="127" t="s">
        <v>54</v>
      </c>
      <c r="D26" s="50" t="s">
        <v>17</v>
      </c>
      <c r="E26" s="108">
        <v>200</v>
      </c>
      <c r="F26" s="30">
        <v>200</v>
      </c>
      <c r="G26" s="21">
        <f>E26*2.5/100</f>
        <v>5</v>
      </c>
      <c r="H26" s="32">
        <f>F26*2.5/100</f>
        <v>5</v>
      </c>
      <c r="I26" s="21">
        <f>E26*3.18/100</f>
        <v>6.36</v>
      </c>
      <c r="J26" s="32">
        <f>F26*3.18/100</f>
        <v>6.36</v>
      </c>
      <c r="K26" s="21">
        <f>E26*15.7/100</f>
        <v>31.4</v>
      </c>
      <c r="L26" s="32">
        <f>F26*15.7/100</f>
        <v>31.4</v>
      </c>
      <c r="M26" s="21">
        <f t="shared" ref="M26:N30" si="9">G26*4+I26*9+K26*4</f>
        <v>202.84</v>
      </c>
      <c r="N26" s="34">
        <f t="shared" si="9"/>
        <v>202.84</v>
      </c>
    </row>
    <row r="27" spans="2:18" x14ac:dyDescent="0.25">
      <c r="B27" s="268"/>
      <c r="C27" s="89" t="s">
        <v>108</v>
      </c>
      <c r="D27" s="90" t="s">
        <v>109</v>
      </c>
      <c r="E27" s="108">
        <v>10</v>
      </c>
      <c r="F27" s="88">
        <v>15</v>
      </c>
      <c r="G27" s="21">
        <f>E27*23.2/100</f>
        <v>2.3199999999999998</v>
      </c>
      <c r="H27" s="32">
        <f>F27*23.2/100</f>
        <v>3.48</v>
      </c>
      <c r="I27" s="21">
        <f>E27*29.5/100</f>
        <v>2.95</v>
      </c>
      <c r="J27" s="32">
        <f>F27*29.5/100</f>
        <v>4.4249999999999998</v>
      </c>
      <c r="K27" s="21">
        <f>E27*0/100</f>
        <v>0</v>
      </c>
      <c r="L27" s="32">
        <f>F27*0/100</f>
        <v>0</v>
      </c>
      <c r="M27" s="21">
        <f t="shared" si="9"/>
        <v>35.83</v>
      </c>
      <c r="N27" s="34">
        <f t="shared" si="9"/>
        <v>53.744999999999997</v>
      </c>
    </row>
    <row r="28" spans="2:18" x14ac:dyDescent="0.25">
      <c r="B28" s="268"/>
      <c r="C28" s="19" t="s">
        <v>67</v>
      </c>
      <c r="D28" s="9" t="s">
        <v>68</v>
      </c>
      <c r="E28" s="108">
        <v>200</v>
      </c>
      <c r="F28" s="30">
        <v>200</v>
      </c>
      <c r="G28" s="21">
        <f>E28*1.4/200</f>
        <v>1.4</v>
      </c>
      <c r="H28" s="32">
        <f>F28*1.4/200</f>
        <v>1.4</v>
      </c>
      <c r="I28" s="21">
        <f>E28*1.2/200</f>
        <v>1.2</v>
      </c>
      <c r="J28" s="32">
        <f>F28*1.2/200</f>
        <v>1.2</v>
      </c>
      <c r="K28" s="21">
        <f>E28*11.4/200</f>
        <v>11.4</v>
      </c>
      <c r="L28" s="32">
        <f>F28*11.4/200</f>
        <v>11.4</v>
      </c>
      <c r="M28" s="21">
        <f t="shared" si="9"/>
        <v>62</v>
      </c>
      <c r="N28" s="34">
        <f t="shared" si="9"/>
        <v>62</v>
      </c>
    </row>
    <row r="29" spans="2:18" x14ac:dyDescent="0.25">
      <c r="B29" s="268"/>
      <c r="C29" s="20" t="s">
        <v>126</v>
      </c>
      <c r="D29" s="95" t="s">
        <v>127</v>
      </c>
      <c r="E29" s="60">
        <v>30</v>
      </c>
      <c r="F29" s="61">
        <v>30</v>
      </c>
      <c r="G29" s="96">
        <f>E29*7.5/100</f>
        <v>2.25</v>
      </c>
      <c r="H29" s="43">
        <f>F29*7.5/100</f>
        <v>2.25</v>
      </c>
      <c r="I29" s="97">
        <f>E29*2.9/100</f>
        <v>0.87</v>
      </c>
      <c r="J29" s="32">
        <f>F29*2.9/100</f>
        <v>0.87</v>
      </c>
      <c r="K29" s="97">
        <f>E29*51.4/100</f>
        <v>15.42</v>
      </c>
      <c r="L29" s="32">
        <f>F29*51.4/100</f>
        <v>15.42</v>
      </c>
      <c r="M29" s="97">
        <f t="shared" si="9"/>
        <v>78.509999999999991</v>
      </c>
      <c r="N29" s="34">
        <f t="shared" si="9"/>
        <v>78.509999999999991</v>
      </c>
    </row>
    <row r="30" spans="2:18" x14ac:dyDescent="0.25">
      <c r="B30" s="268"/>
      <c r="C30" s="20" t="s">
        <v>72</v>
      </c>
      <c r="D30" s="6" t="s">
        <v>73</v>
      </c>
      <c r="E30" s="60">
        <v>30</v>
      </c>
      <c r="F30" s="61">
        <v>30</v>
      </c>
      <c r="G30" s="21">
        <f>E30*7.6/100</f>
        <v>2.2799999999999998</v>
      </c>
      <c r="H30" s="32">
        <f>F30*7.6/100</f>
        <v>2.2799999999999998</v>
      </c>
      <c r="I30" s="21">
        <f>E30*0.8/100</f>
        <v>0.24</v>
      </c>
      <c r="J30" s="32">
        <f>F30*0.8/100</f>
        <v>0.24</v>
      </c>
      <c r="K30" s="21">
        <f>E30*49.2/100</f>
        <v>14.76</v>
      </c>
      <c r="L30" s="32">
        <f>F30*49.2/100</f>
        <v>14.76</v>
      </c>
      <c r="M30" s="21">
        <f t="shared" si="9"/>
        <v>70.319999999999993</v>
      </c>
      <c r="N30" s="34">
        <f t="shared" si="9"/>
        <v>70.319999999999993</v>
      </c>
    </row>
    <row r="31" spans="2:18" x14ac:dyDescent="0.25">
      <c r="B31" s="268"/>
      <c r="C31" s="25"/>
      <c r="D31" s="4" t="s">
        <v>13</v>
      </c>
      <c r="E31" s="23">
        <f t="shared" ref="E31:L31" si="10">SUM(E26:E30)</f>
        <v>470</v>
      </c>
      <c r="F31" s="31">
        <f t="shared" si="10"/>
        <v>475</v>
      </c>
      <c r="G31" s="7">
        <f t="shared" si="10"/>
        <v>13.25</v>
      </c>
      <c r="H31" s="33">
        <f t="shared" si="10"/>
        <v>14.41</v>
      </c>
      <c r="I31" s="7">
        <f t="shared" si="10"/>
        <v>11.62</v>
      </c>
      <c r="J31" s="33">
        <f t="shared" si="10"/>
        <v>13.094999999999999</v>
      </c>
      <c r="K31" s="7">
        <f t="shared" si="10"/>
        <v>72.98</v>
      </c>
      <c r="L31" s="33">
        <f t="shared" si="10"/>
        <v>72.98</v>
      </c>
      <c r="M31" s="7">
        <f t="shared" ref="M31" si="11">G31*4+I31*9+K31*4</f>
        <v>449.5</v>
      </c>
      <c r="N31" s="35">
        <f t="shared" ref="N31" si="12">H31*4+J31*9+L31*4</f>
        <v>467.41500000000002</v>
      </c>
      <c r="R31" s="15" t="s">
        <v>24</v>
      </c>
    </row>
    <row r="32" spans="2:18" x14ac:dyDescent="0.25">
      <c r="B32" s="268"/>
      <c r="C32" s="273" t="s">
        <v>9</v>
      </c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5"/>
    </row>
    <row r="33" spans="2:14" ht="25.5" x14ac:dyDescent="0.25">
      <c r="B33" s="268"/>
      <c r="C33" s="131" t="s">
        <v>232</v>
      </c>
      <c r="D33" s="132" t="s">
        <v>233</v>
      </c>
      <c r="E33" s="129">
        <v>60</v>
      </c>
      <c r="F33" s="133">
        <v>100</v>
      </c>
      <c r="G33" s="22">
        <f>E33*2.08/100</f>
        <v>1.2480000000000002</v>
      </c>
      <c r="H33" s="43">
        <f>F33*2.08/100</f>
        <v>2.08</v>
      </c>
      <c r="I33" s="129">
        <f>E33*5.12/100</f>
        <v>3.0720000000000001</v>
      </c>
      <c r="J33" s="43">
        <f>F33*5.12/100</f>
        <v>5.12</v>
      </c>
      <c r="K33" s="22">
        <f>E33*5.69/100</f>
        <v>3.4140000000000001</v>
      </c>
      <c r="L33" s="43">
        <f>F33*5.69/100</f>
        <v>5.69</v>
      </c>
      <c r="M33" s="22">
        <f t="shared" ref="M33:N33" si="13">G33*4+I33*9+K33*4</f>
        <v>46.295999999999999</v>
      </c>
      <c r="N33" s="40">
        <f t="shared" si="13"/>
        <v>77.16</v>
      </c>
    </row>
    <row r="34" spans="2:14" x14ac:dyDescent="0.25">
      <c r="B34" s="268"/>
      <c r="C34" s="57" t="s">
        <v>225</v>
      </c>
      <c r="D34" s="144" t="s">
        <v>226</v>
      </c>
      <c r="E34" s="129">
        <v>200</v>
      </c>
      <c r="F34" s="42">
        <v>250</v>
      </c>
      <c r="G34" s="21">
        <f>E34*1.96/100</f>
        <v>3.92</v>
      </c>
      <c r="H34" s="32">
        <f>F34*1.96/100</f>
        <v>4.9000000000000004</v>
      </c>
      <c r="I34" s="21">
        <f>E34*3.06/100</f>
        <v>6.12</v>
      </c>
      <c r="J34" s="32">
        <f>F34*3.06/100</f>
        <v>7.65</v>
      </c>
      <c r="K34" s="21">
        <f>E34*5.44/100</f>
        <v>10.88</v>
      </c>
      <c r="L34" s="32">
        <f>F34*5.44/100</f>
        <v>13.6</v>
      </c>
      <c r="M34" s="22">
        <f t="shared" ref="M34:N39" si="14">G34*4+I34*9+K34*4</f>
        <v>114.28</v>
      </c>
      <c r="N34" s="40">
        <f t="shared" ref="N34:N35" si="15">H34*4+J34*9+L34*4</f>
        <v>142.85000000000002</v>
      </c>
    </row>
    <row r="35" spans="2:14" x14ac:dyDescent="0.25">
      <c r="B35" s="268"/>
      <c r="C35" s="20" t="s">
        <v>143</v>
      </c>
      <c r="D35" s="6" t="s">
        <v>227</v>
      </c>
      <c r="E35" s="108">
        <v>150</v>
      </c>
      <c r="F35" s="30">
        <v>180</v>
      </c>
      <c r="G35" s="21">
        <f>E35*2.8/100</f>
        <v>4.2</v>
      </c>
      <c r="H35" s="32">
        <f>F35*2.8/100</f>
        <v>5.0399999999999991</v>
      </c>
      <c r="I35" s="21">
        <f>E35*4.5/100</f>
        <v>6.75</v>
      </c>
      <c r="J35" s="32">
        <f>F35*4.5/100</f>
        <v>8.1</v>
      </c>
      <c r="K35" s="21">
        <f>E35*16/100</f>
        <v>24</v>
      </c>
      <c r="L35" s="32">
        <f>F35*16/100</f>
        <v>28.8</v>
      </c>
      <c r="M35" s="21">
        <f t="shared" si="14"/>
        <v>173.55</v>
      </c>
      <c r="N35" s="34">
        <f t="shared" si="15"/>
        <v>208.26</v>
      </c>
    </row>
    <row r="36" spans="2:14" x14ac:dyDescent="0.25">
      <c r="B36" s="268"/>
      <c r="C36" s="55" t="s">
        <v>228</v>
      </c>
      <c r="D36" s="130" t="s">
        <v>229</v>
      </c>
      <c r="E36" s="108">
        <v>100</v>
      </c>
      <c r="F36" s="30">
        <v>100</v>
      </c>
      <c r="G36" s="21">
        <f>E36*13.5/100</f>
        <v>13.5</v>
      </c>
      <c r="H36" s="32">
        <f>F36*13.5/100</f>
        <v>13.5</v>
      </c>
      <c r="I36" s="21">
        <f>E36*16.3/100</f>
        <v>16.3</v>
      </c>
      <c r="J36" s="32">
        <f>F36*16.3/100</f>
        <v>16.3</v>
      </c>
      <c r="K36" s="21">
        <f>E36*15.5/100</f>
        <v>15.5</v>
      </c>
      <c r="L36" s="32">
        <f>F36*15.5/100</f>
        <v>15.5</v>
      </c>
      <c r="M36" s="21">
        <f t="shared" si="14"/>
        <v>262.70000000000005</v>
      </c>
      <c r="N36" s="34">
        <f t="shared" si="14"/>
        <v>262.70000000000005</v>
      </c>
    </row>
    <row r="37" spans="2:14" x14ac:dyDescent="0.25">
      <c r="B37" s="268"/>
      <c r="C37" s="19" t="s">
        <v>60</v>
      </c>
      <c r="D37" s="9" t="s">
        <v>61</v>
      </c>
      <c r="E37" s="108">
        <v>50</v>
      </c>
      <c r="F37" s="30">
        <v>50</v>
      </c>
      <c r="G37" s="21">
        <f>E37*1.3/50</f>
        <v>1.3</v>
      </c>
      <c r="H37" s="32">
        <f>F37*1.3/50</f>
        <v>1.3</v>
      </c>
      <c r="I37" s="21">
        <f>E37*4.8/50</f>
        <v>4.8</v>
      </c>
      <c r="J37" s="32">
        <f>F37*4.8/50</f>
        <v>4.8</v>
      </c>
      <c r="K37" s="21">
        <f>E37*4.7/50</f>
        <v>4.7</v>
      </c>
      <c r="L37" s="32">
        <f>F37*4.7/50</f>
        <v>4.7</v>
      </c>
      <c r="M37" s="21">
        <f t="shared" si="14"/>
        <v>67.2</v>
      </c>
      <c r="N37" s="34">
        <f t="shared" si="14"/>
        <v>67.2</v>
      </c>
    </row>
    <row r="38" spans="2:14" x14ac:dyDescent="0.25">
      <c r="B38" s="268"/>
      <c r="C38" s="19" t="s">
        <v>230</v>
      </c>
      <c r="D38" s="9" t="s">
        <v>231</v>
      </c>
      <c r="E38" s="108">
        <v>200</v>
      </c>
      <c r="F38" s="30">
        <v>200</v>
      </c>
      <c r="G38" s="21">
        <f>E38*0.05/100</f>
        <v>0.1</v>
      </c>
      <c r="H38" s="32">
        <f>F38*0.05/100</f>
        <v>0.1</v>
      </c>
      <c r="I38" s="21">
        <f>E38*0.05/100</f>
        <v>0.1</v>
      </c>
      <c r="J38" s="32">
        <f>F38*0.05/100</f>
        <v>0.1</v>
      </c>
      <c r="K38" s="21">
        <f>E38*5.55/100</f>
        <v>11.1</v>
      </c>
      <c r="L38" s="32">
        <f>F38*5.55/100</f>
        <v>11.1</v>
      </c>
      <c r="M38" s="21">
        <f t="shared" si="14"/>
        <v>45.699999999999996</v>
      </c>
      <c r="N38" s="34">
        <f t="shared" si="14"/>
        <v>45.699999999999996</v>
      </c>
    </row>
    <row r="39" spans="2:14" x14ac:dyDescent="0.25">
      <c r="B39" s="268"/>
      <c r="C39" s="20" t="s">
        <v>71</v>
      </c>
      <c r="D39" s="6" t="s">
        <v>22</v>
      </c>
      <c r="E39" s="60">
        <v>30</v>
      </c>
      <c r="F39" s="61">
        <v>30</v>
      </c>
      <c r="G39" s="21">
        <f>E39*8/100</f>
        <v>2.4</v>
      </c>
      <c r="H39" s="32">
        <f>F39*8/100</f>
        <v>2.4</v>
      </c>
      <c r="I39" s="21">
        <f>E39*1.5/100</f>
        <v>0.45</v>
      </c>
      <c r="J39" s="32">
        <f>F39*1.5/100</f>
        <v>0.45</v>
      </c>
      <c r="K39" s="21">
        <f>E39*40.1/100</f>
        <v>12.03</v>
      </c>
      <c r="L39" s="32">
        <f>F39*40.1/100</f>
        <v>12.03</v>
      </c>
      <c r="M39" s="21">
        <f t="shared" si="14"/>
        <v>61.769999999999996</v>
      </c>
      <c r="N39" s="34">
        <f t="shared" ref="N39" si="16">H39*4+J39*9+L39*4</f>
        <v>61.769999999999996</v>
      </c>
    </row>
    <row r="40" spans="2:14" x14ac:dyDescent="0.25">
      <c r="B40" s="268"/>
      <c r="C40" s="20" t="s">
        <v>72</v>
      </c>
      <c r="D40" s="6" t="s">
        <v>73</v>
      </c>
      <c r="E40" s="60">
        <v>40</v>
      </c>
      <c r="F40" s="61">
        <v>40</v>
      </c>
      <c r="G40" s="21">
        <f>E40*7.6/100</f>
        <v>3.04</v>
      </c>
      <c r="H40" s="32">
        <f>F40*7.6/100</f>
        <v>3.04</v>
      </c>
      <c r="I40" s="21">
        <f>E40*0.8/100</f>
        <v>0.32</v>
      </c>
      <c r="J40" s="32">
        <f>F40*0.8/100</f>
        <v>0.32</v>
      </c>
      <c r="K40" s="21">
        <f>E40*49.2/100</f>
        <v>19.68</v>
      </c>
      <c r="L40" s="32">
        <f>F40*49.2/100</f>
        <v>19.68</v>
      </c>
      <c r="M40" s="21">
        <f t="shared" ref="M40:M41" si="17">G40*4+I40*9+K40*4</f>
        <v>93.759999999999991</v>
      </c>
      <c r="N40" s="34">
        <f t="shared" ref="N40:N41" si="18">H40*4+J40*9+L40*4</f>
        <v>93.759999999999991</v>
      </c>
    </row>
    <row r="41" spans="2:14" x14ac:dyDescent="0.25">
      <c r="B41" s="268"/>
      <c r="C41" s="20" t="s">
        <v>113</v>
      </c>
      <c r="D41" s="6" t="s">
        <v>110</v>
      </c>
      <c r="E41" s="108">
        <v>100</v>
      </c>
      <c r="F41" s="30">
        <v>100</v>
      </c>
      <c r="G41" s="21">
        <f>E41*0.4/100</f>
        <v>0.4</v>
      </c>
      <c r="H41" s="32">
        <f>F41*0.4/100</f>
        <v>0.4</v>
      </c>
      <c r="I41" s="21">
        <f>E41*0.4/100</f>
        <v>0.4</v>
      </c>
      <c r="J41" s="32">
        <f>F41*0.4/100</f>
        <v>0.4</v>
      </c>
      <c r="K41" s="21">
        <f>E41*9.8/100</f>
        <v>9.8000000000000007</v>
      </c>
      <c r="L41" s="32">
        <f>F41*9.8/100</f>
        <v>9.8000000000000007</v>
      </c>
      <c r="M41" s="21">
        <f t="shared" si="17"/>
        <v>44.400000000000006</v>
      </c>
      <c r="N41" s="34">
        <f t="shared" si="18"/>
        <v>44.400000000000006</v>
      </c>
    </row>
    <row r="42" spans="2:14" x14ac:dyDescent="0.25">
      <c r="B42" s="268"/>
      <c r="C42" s="20"/>
      <c r="D42" s="4" t="s">
        <v>14</v>
      </c>
      <c r="E42" s="23">
        <f t="shared" ref="E42:N42" si="19">SUM(E33:E41)</f>
        <v>930</v>
      </c>
      <c r="F42" s="37">
        <f t="shared" si="19"/>
        <v>1050</v>
      </c>
      <c r="G42" s="7">
        <f t="shared" si="19"/>
        <v>30.108000000000001</v>
      </c>
      <c r="H42" s="33">
        <f t="shared" si="19"/>
        <v>32.76</v>
      </c>
      <c r="I42" s="23">
        <f t="shared" si="19"/>
        <v>38.312000000000005</v>
      </c>
      <c r="J42" s="33">
        <f t="shared" si="19"/>
        <v>43.24</v>
      </c>
      <c r="K42" s="7">
        <f t="shared" si="19"/>
        <v>111.104</v>
      </c>
      <c r="L42" s="33">
        <f t="shared" si="19"/>
        <v>120.89999999999999</v>
      </c>
      <c r="M42" s="7">
        <f t="shared" si="19"/>
        <v>909.65600000000006</v>
      </c>
      <c r="N42" s="35">
        <f t="shared" si="19"/>
        <v>1003.8000000000001</v>
      </c>
    </row>
    <row r="43" spans="2:14" ht="15.75" thickBot="1" x14ac:dyDescent="0.3">
      <c r="B43" s="269"/>
      <c r="C43" s="24"/>
      <c r="D43" s="16" t="s">
        <v>12</v>
      </c>
      <c r="E43" s="17"/>
      <c r="F43" s="38"/>
      <c r="G43" s="18">
        <f t="shared" ref="G43:N43" si="20">G31+G42</f>
        <v>43.358000000000004</v>
      </c>
      <c r="H43" s="39">
        <f t="shared" si="20"/>
        <v>47.17</v>
      </c>
      <c r="I43" s="18">
        <f t="shared" si="20"/>
        <v>49.932000000000002</v>
      </c>
      <c r="J43" s="39">
        <f t="shared" si="20"/>
        <v>56.335000000000001</v>
      </c>
      <c r="K43" s="18">
        <f t="shared" si="20"/>
        <v>184.084</v>
      </c>
      <c r="L43" s="39">
        <f t="shared" si="20"/>
        <v>193.88</v>
      </c>
      <c r="M43" s="18">
        <f t="shared" si="20"/>
        <v>1359.1559999999999</v>
      </c>
      <c r="N43" s="41">
        <f t="shared" si="20"/>
        <v>1471.2150000000001</v>
      </c>
    </row>
    <row r="44" spans="2:14" x14ac:dyDescent="0.25">
      <c r="B44" s="267" t="s">
        <v>204</v>
      </c>
      <c r="C44" s="235" t="s">
        <v>8</v>
      </c>
      <c r="D44" s="236"/>
      <c r="E44" s="236"/>
      <c r="F44" s="236"/>
      <c r="G44" s="236"/>
      <c r="H44" s="236"/>
      <c r="I44" s="236"/>
      <c r="J44" s="236"/>
      <c r="K44" s="236"/>
      <c r="L44" s="236"/>
      <c r="M44" s="236"/>
      <c r="N44" s="237"/>
    </row>
    <row r="45" spans="2:14" x14ac:dyDescent="0.25">
      <c r="B45" s="268"/>
      <c r="C45" s="19" t="s">
        <v>218</v>
      </c>
      <c r="D45" s="8" t="s">
        <v>219</v>
      </c>
      <c r="E45" s="108">
        <v>150</v>
      </c>
      <c r="F45" s="29">
        <v>200</v>
      </c>
      <c r="G45" s="21">
        <f>E45*6.73/100</f>
        <v>10.095000000000001</v>
      </c>
      <c r="H45" s="32">
        <f>F45*6.73/100</f>
        <v>13.46</v>
      </c>
      <c r="I45" s="21">
        <f>E45*3.06/100</f>
        <v>4.59</v>
      </c>
      <c r="J45" s="32">
        <f>F45*3.06/100</f>
        <v>6.12</v>
      </c>
      <c r="K45" s="21">
        <f>E45*26.26/100</f>
        <v>39.390000000000008</v>
      </c>
      <c r="L45" s="32">
        <f>F45*26.26/100</f>
        <v>52.52</v>
      </c>
      <c r="M45" s="21">
        <f t="shared" ref="M45:N49" si="21">G45*4+I45*9+K45*4</f>
        <v>239.25000000000003</v>
      </c>
      <c r="N45" s="34">
        <f t="shared" si="21"/>
        <v>319</v>
      </c>
    </row>
    <row r="46" spans="2:14" x14ac:dyDescent="0.25">
      <c r="B46" s="268"/>
      <c r="C46" s="20" t="s">
        <v>113</v>
      </c>
      <c r="D46" s="90" t="s">
        <v>191</v>
      </c>
      <c r="E46" s="108">
        <v>20</v>
      </c>
      <c r="F46" s="88">
        <v>20</v>
      </c>
      <c r="G46" s="91">
        <f>E46*0/10</f>
        <v>0</v>
      </c>
      <c r="H46" s="110">
        <f>F46*0/10</f>
        <v>0</v>
      </c>
      <c r="I46" s="91">
        <f>E46*0/10</f>
        <v>0</v>
      </c>
      <c r="J46" s="110">
        <f>F46*0/10</f>
        <v>0</v>
      </c>
      <c r="K46" s="21">
        <f>E46*61/100</f>
        <v>12.2</v>
      </c>
      <c r="L46" s="32">
        <f>F46*61/100</f>
        <v>12.2</v>
      </c>
      <c r="M46" s="21">
        <f t="shared" si="21"/>
        <v>48.8</v>
      </c>
      <c r="N46" s="34">
        <f t="shared" si="21"/>
        <v>48.8</v>
      </c>
    </row>
    <row r="47" spans="2:14" x14ac:dyDescent="0.25">
      <c r="B47" s="268"/>
      <c r="C47" s="19" t="s">
        <v>45</v>
      </c>
      <c r="D47" s="9" t="s">
        <v>166</v>
      </c>
      <c r="E47" s="108">
        <v>200</v>
      </c>
      <c r="F47" s="30">
        <v>200</v>
      </c>
      <c r="G47" s="21">
        <f>E47*0.2/200</f>
        <v>0.2</v>
      </c>
      <c r="H47" s="32">
        <f>F47*0.2/200</f>
        <v>0.2</v>
      </c>
      <c r="I47" s="21">
        <f t="shared" ref="I47" si="22">E47*0.1/200</f>
        <v>0.1</v>
      </c>
      <c r="J47" s="32">
        <f t="shared" ref="J47" si="23">F47*0.1/200</f>
        <v>0.1</v>
      </c>
      <c r="K47" s="21">
        <f>E47*9.3/200</f>
        <v>9.3000000000000007</v>
      </c>
      <c r="L47" s="32">
        <f>F47*9.3/200</f>
        <v>9.3000000000000007</v>
      </c>
      <c r="M47" s="21">
        <f t="shared" si="21"/>
        <v>38.900000000000006</v>
      </c>
      <c r="N47" s="34">
        <f t="shared" si="21"/>
        <v>38.900000000000006</v>
      </c>
    </row>
    <row r="48" spans="2:14" x14ac:dyDescent="0.25">
      <c r="B48" s="268"/>
      <c r="C48" s="20" t="s">
        <v>126</v>
      </c>
      <c r="D48" s="95" t="s">
        <v>127</v>
      </c>
      <c r="E48" s="60">
        <v>30</v>
      </c>
      <c r="F48" s="61">
        <v>30</v>
      </c>
      <c r="G48" s="96">
        <f>E48*7.5/100</f>
        <v>2.25</v>
      </c>
      <c r="H48" s="43">
        <f>F48*7.5/100</f>
        <v>2.25</v>
      </c>
      <c r="I48" s="97">
        <f>E48*2.9/100</f>
        <v>0.87</v>
      </c>
      <c r="J48" s="32">
        <f>F48*2.9/100</f>
        <v>0.87</v>
      </c>
      <c r="K48" s="97">
        <f>E48*51.4/100</f>
        <v>15.42</v>
      </c>
      <c r="L48" s="32">
        <f>F48*51.4/100</f>
        <v>15.42</v>
      </c>
      <c r="M48" s="97">
        <f t="shared" si="21"/>
        <v>78.509999999999991</v>
      </c>
      <c r="N48" s="34">
        <f t="shared" si="21"/>
        <v>78.509999999999991</v>
      </c>
    </row>
    <row r="49" spans="2:15" x14ac:dyDescent="0.25">
      <c r="B49" s="268"/>
      <c r="C49" s="20" t="s">
        <v>72</v>
      </c>
      <c r="D49" s="6" t="s">
        <v>73</v>
      </c>
      <c r="E49" s="60">
        <v>30</v>
      </c>
      <c r="F49" s="61">
        <v>30</v>
      </c>
      <c r="G49" s="21">
        <f>E49*7.6/100</f>
        <v>2.2799999999999998</v>
      </c>
      <c r="H49" s="32">
        <f>F49*7.6/100</f>
        <v>2.2799999999999998</v>
      </c>
      <c r="I49" s="21">
        <f>E49*0.8/100</f>
        <v>0.24</v>
      </c>
      <c r="J49" s="32">
        <f>F49*0.8/100</f>
        <v>0.24</v>
      </c>
      <c r="K49" s="21">
        <f>E49*49.2/100</f>
        <v>14.76</v>
      </c>
      <c r="L49" s="32">
        <f>F49*49.2/100</f>
        <v>14.76</v>
      </c>
      <c r="M49" s="21">
        <f t="shared" si="21"/>
        <v>70.319999999999993</v>
      </c>
      <c r="N49" s="34">
        <f t="shared" si="21"/>
        <v>70.319999999999993</v>
      </c>
    </row>
    <row r="50" spans="2:15" x14ac:dyDescent="0.25">
      <c r="B50" s="268"/>
      <c r="C50" s="25"/>
      <c r="D50" s="4" t="s">
        <v>13</v>
      </c>
      <c r="E50" s="23">
        <f t="shared" ref="E50:L50" si="24">SUM(E45:E49)</f>
        <v>430</v>
      </c>
      <c r="F50" s="31">
        <f t="shared" si="24"/>
        <v>480</v>
      </c>
      <c r="G50" s="7">
        <f t="shared" si="24"/>
        <v>14.824999999999999</v>
      </c>
      <c r="H50" s="33">
        <f t="shared" si="24"/>
        <v>18.190000000000001</v>
      </c>
      <c r="I50" s="7">
        <f t="shared" si="24"/>
        <v>5.8</v>
      </c>
      <c r="J50" s="33">
        <f t="shared" si="24"/>
        <v>7.33</v>
      </c>
      <c r="K50" s="7">
        <f t="shared" si="24"/>
        <v>91.070000000000007</v>
      </c>
      <c r="L50" s="33">
        <f t="shared" si="24"/>
        <v>104.2</v>
      </c>
      <c r="M50" s="7">
        <f t="shared" ref="M50" si="25">G50*4+I50*9+K50*4</f>
        <v>475.78000000000003</v>
      </c>
      <c r="N50" s="35">
        <f t="shared" ref="N50" si="26">H50*4+J50*9+L50*4</f>
        <v>555.53</v>
      </c>
    </row>
    <row r="51" spans="2:15" x14ac:dyDescent="0.25">
      <c r="B51" s="268"/>
      <c r="C51" s="273" t="s">
        <v>9</v>
      </c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5"/>
    </row>
    <row r="52" spans="2:15" x14ac:dyDescent="0.25">
      <c r="B52" s="268"/>
      <c r="C52" s="19" t="s">
        <v>82</v>
      </c>
      <c r="D52" s="130" t="s">
        <v>83</v>
      </c>
      <c r="E52" s="138">
        <v>60</v>
      </c>
      <c r="F52" s="42">
        <v>100</v>
      </c>
      <c r="G52" s="22">
        <f>E52*0.7/100</f>
        <v>0.42</v>
      </c>
      <c r="H52" s="43">
        <f>F52*0.7/100</f>
        <v>0.7</v>
      </c>
      <c r="I52" s="22">
        <f>E52*0.1/100</f>
        <v>0.06</v>
      </c>
      <c r="J52" s="43">
        <f>F52*0.1/100</f>
        <v>0.1</v>
      </c>
      <c r="K52" s="22">
        <f>E52*1.9/100</f>
        <v>1.1399999999999999</v>
      </c>
      <c r="L52" s="43">
        <f>F52*1.9/100</f>
        <v>1.9</v>
      </c>
      <c r="M52" s="22">
        <f t="shared" ref="M52:N52" si="27">G52*4+I52*9+K52*4</f>
        <v>6.7799999999999994</v>
      </c>
      <c r="N52" s="40">
        <f t="shared" si="27"/>
        <v>11.299999999999999</v>
      </c>
    </row>
    <row r="53" spans="2:15" x14ac:dyDescent="0.25">
      <c r="B53" s="268"/>
      <c r="C53" s="19" t="s">
        <v>65</v>
      </c>
      <c r="D53" s="142" t="s">
        <v>66</v>
      </c>
      <c r="E53" s="108">
        <v>200</v>
      </c>
      <c r="F53" s="36">
        <v>250</v>
      </c>
      <c r="G53" s="21">
        <f>E53*1.8/100</f>
        <v>3.6</v>
      </c>
      <c r="H53" s="32">
        <f>F53*1.8/100</f>
        <v>4.5</v>
      </c>
      <c r="I53" s="21">
        <f>E53*2.89/100</f>
        <v>5.78</v>
      </c>
      <c r="J53" s="32">
        <f>F53*2.89/100</f>
        <v>7.2249999999999996</v>
      </c>
      <c r="K53" s="21">
        <f>E53*3.62/100</f>
        <v>7.24</v>
      </c>
      <c r="L53" s="32">
        <f>F53*3.62/100</f>
        <v>9.0500000000000007</v>
      </c>
      <c r="M53" s="21">
        <f t="shared" ref="M53:N56" si="28">G53*4+I53*9+K53*4</f>
        <v>95.38</v>
      </c>
      <c r="N53" s="34">
        <f>H53*4+J53*9+L53*4</f>
        <v>119.22499999999999</v>
      </c>
    </row>
    <row r="54" spans="2:15" x14ac:dyDescent="0.25">
      <c r="B54" s="268"/>
      <c r="C54" s="20" t="s">
        <v>262</v>
      </c>
      <c r="D54" s="6" t="s">
        <v>263</v>
      </c>
      <c r="E54" s="108">
        <v>150</v>
      </c>
      <c r="F54" s="30">
        <v>180</v>
      </c>
      <c r="G54" s="21">
        <f>E54*5.67/100</f>
        <v>8.5050000000000008</v>
      </c>
      <c r="H54" s="32">
        <f>F54*5.67/100</f>
        <v>10.206</v>
      </c>
      <c r="I54" s="21">
        <f>E54*4.24/100</f>
        <v>6.36</v>
      </c>
      <c r="J54" s="32">
        <f>F54*4.24/100</f>
        <v>7.6320000000000006</v>
      </c>
      <c r="K54" s="21">
        <f>E54*25.13/100</f>
        <v>37.695</v>
      </c>
      <c r="L54" s="32">
        <f>F54*25.13/100</f>
        <v>45.233999999999995</v>
      </c>
      <c r="M54" s="21">
        <f>G54*4+I54*9+K54*4</f>
        <v>242.04000000000002</v>
      </c>
      <c r="N54" s="34">
        <f>H54*4+J54*9+L54*4</f>
        <v>290.44799999999998</v>
      </c>
    </row>
    <row r="55" spans="2:15" x14ac:dyDescent="0.25">
      <c r="B55" s="268"/>
      <c r="C55" s="19" t="s">
        <v>235</v>
      </c>
      <c r="D55" s="9" t="s">
        <v>236</v>
      </c>
      <c r="E55" s="108">
        <v>100</v>
      </c>
      <c r="F55" s="30">
        <v>100</v>
      </c>
      <c r="G55" s="21">
        <f>E55*12.8/100</f>
        <v>12.8</v>
      </c>
      <c r="H55" s="32">
        <f>F55*12.8/100</f>
        <v>12.8</v>
      </c>
      <c r="I55" s="21">
        <f>E55*13.6/100</f>
        <v>13.6</v>
      </c>
      <c r="J55" s="32">
        <f>F55*13.6/100</f>
        <v>13.6</v>
      </c>
      <c r="K55" s="21">
        <f>E55*9.9/100</f>
        <v>9.9</v>
      </c>
      <c r="L55" s="32">
        <f>F55*9.9/100</f>
        <v>9.9</v>
      </c>
      <c r="M55" s="21">
        <f t="shared" si="28"/>
        <v>213.2</v>
      </c>
      <c r="N55" s="34">
        <f t="shared" si="28"/>
        <v>213.2</v>
      </c>
    </row>
    <row r="56" spans="2:15" x14ac:dyDescent="0.25">
      <c r="B56" s="268"/>
      <c r="C56" s="19" t="s">
        <v>46</v>
      </c>
      <c r="D56" s="9" t="s">
        <v>47</v>
      </c>
      <c r="E56" s="108">
        <v>200</v>
      </c>
      <c r="F56" s="30">
        <v>200</v>
      </c>
      <c r="G56" s="21">
        <f>E56*0.6/200</f>
        <v>0.6</v>
      </c>
      <c r="H56" s="32">
        <f>F56*0.6/200</f>
        <v>0.6</v>
      </c>
      <c r="I56" s="21">
        <f t="shared" ref="I56:J56" si="29">E56*0.1/200</f>
        <v>0.1</v>
      </c>
      <c r="J56" s="32">
        <f t="shared" si="29"/>
        <v>0.1</v>
      </c>
      <c r="K56" s="21">
        <f>E56*20.1/200</f>
        <v>20.100000000000001</v>
      </c>
      <c r="L56" s="32">
        <f>F56*20.1/200</f>
        <v>20.100000000000001</v>
      </c>
      <c r="M56" s="21">
        <f t="shared" si="28"/>
        <v>83.7</v>
      </c>
      <c r="N56" s="34">
        <f t="shared" si="28"/>
        <v>83.7</v>
      </c>
    </row>
    <row r="57" spans="2:15" x14ac:dyDescent="0.25">
      <c r="B57" s="268"/>
      <c r="C57" s="20" t="s">
        <v>71</v>
      </c>
      <c r="D57" s="6" t="s">
        <v>22</v>
      </c>
      <c r="E57" s="60">
        <v>30</v>
      </c>
      <c r="F57" s="61">
        <v>30</v>
      </c>
      <c r="G57" s="21">
        <f>E57*8/100</f>
        <v>2.4</v>
      </c>
      <c r="H57" s="32">
        <f>F57*8/100</f>
        <v>2.4</v>
      </c>
      <c r="I57" s="21">
        <f>E57*1.5/100</f>
        <v>0.45</v>
      </c>
      <c r="J57" s="32">
        <f>F57*1.5/100</f>
        <v>0.45</v>
      </c>
      <c r="K57" s="21">
        <f>E57*40.1/100</f>
        <v>12.03</v>
      </c>
      <c r="L57" s="32">
        <f>F57*40.1/100</f>
        <v>12.03</v>
      </c>
      <c r="M57" s="21">
        <f t="shared" ref="M57:N59" si="30">G57*4+I57*9+K57*4</f>
        <v>61.769999999999996</v>
      </c>
      <c r="N57" s="34">
        <f t="shared" ref="N57:N58" si="31">H57*4+J57*9+L57*4</f>
        <v>61.769999999999996</v>
      </c>
    </row>
    <row r="58" spans="2:15" x14ac:dyDescent="0.25">
      <c r="B58" s="268"/>
      <c r="C58" s="20" t="s">
        <v>72</v>
      </c>
      <c r="D58" s="6" t="s">
        <v>73</v>
      </c>
      <c r="E58" s="60">
        <v>40</v>
      </c>
      <c r="F58" s="61">
        <v>40</v>
      </c>
      <c r="G58" s="21">
        <f>E58*7.6/100</f>
        <v>3.04</v>
      </c>
      <c r="H58" s="32">
        <f>F58*7.6/100</f>
        <v>3.04</v>
      </c>
      <c r="I58" s="21">
        <f>E58*0.8/100</f>
        <v>0.32</v>
      </c>
      <c r="J58" s="32">
        <f>F58*0.8/100</f>
        <v>0.32</v>
      </c>
      <c r="K58" s="21">
        <f>E58*49.2/100</f>
        <v>19.68</v>
      </c>
      <c r="L58" s="32">
        <f>F58*49.2/100</f>
        <v>19.68</v>
      </c>
      <c r="M58" s="21">
        <f t="shared" si="30"/>
        <v>93.759999999999991</v>
      </c>
      <c r="N58" s="34">
        <f t="shared" si="31"/>
        <v>93.759999999999991</v>
      </c>
    </row>
    <row r="59" spans="2:15" x14ac:dyDescent="0.25">
      <c r="B59" s="268"/>
      <c r="C59" s="20" t="s">
        <v>215</v>
      </c>
      <c r="D59" s="6" t="s">
        <v>216</v>
      </c>
      <c r="E59" s="108">
        <v>200</v>
      </c>
      <c r="F59" s="30">
        <v>200</v>
      </c>
      <c r="G59" s="21">
        <f>E59*0.5/100</f>
        <v>1</v>
      </c>
      <c r="H59" s="32">
        <f>F59*0.5/100</f>
        <v>1</v>
      </c>
      <c r="I59" s="21">
        <f>E59*0.1/100</f>
        <v>0.2</v>
      </c>
      <c r="J59" s="32">
        <f>F59*0.1/100</f>
        <v>0.2</v>
      </c>
      <c r="K59" s="21">
        <f>E59*10.1/100</f>
        <v>20.2</v>
      </c>
      <c r="L59" s="32">
        <f>F59*10.1/100</f>
        <v>20.2</v>
      </c>
      <c r="M59" s="21">
        <f t="shared" si="30"/>
        <v>86.6</v>
      </c>
      <c r="N59" s="34">
        <f t="shared" si="30"/>
        <v>86.6</v>
      </c>
    </row>
    <row r="60" spans="2:15" x14ac:dyDescent="0.25">
      <c r="B60" s="268"/>
      <c r="C60" s="20"/>
      <c r="D60" s="4" t="s">
        <v>14</v>
      </c>
      <c r="E60" s="23">
        <f t="shared" ref="E60:N60" si="32">SUM(E52:E59)</f>
        <v>980</v>
      </c>
      <c r="F60" s="37">
        <f t="shared" si="32"/>
        <v>1100</v>
      </c>
      <c r="G60" s="7">
        <f t="shared" si="32"/>
        <v>32.365000000000002</v>
      </c>
      <c r="H60" s="33">
        <f t="shared" si="32"/>
        <v>35.246000000000002</v>
      </c>
      <c r="I60" s="23">
        <f t="shared" si="32"/>
        <v>26.869999999999997</v>
      </c>
      <c r="J60" s="33">
        <f t="shared" si="32"/>
        <v>29.627000000000002</v>
      </c>
      <c r="K60" s="7">
        <f t="shared" si="32"/>
        <v>127.985</v>
      </c>
      <c r="L60" s="33">
        <f t="shared" si="32"/>
        <v>138.09399999999999</v>
      </c>
      <c r="M60" s="7">
        <f t="shared" si="32"/>
        <v>883.23000000000013</v>
      </c>
      <c r="N60" s="35">
        <f t="shared" si="32"/>
        <v>960.00300000000004</v>
      </c>
    </row>
    <row r="61" spans="2:15" ht="15.75" thickBot="1" x14ac:dyDescent="0.3">
      <c r="B61" s="269"/>
      <c r="C61" s="24"/>
      <c r="D61" s="16" t="s">
        <v>12</v>
      </c>
      <c r="E61" s="17"/>
      <c r="F61" s="38"/>
      <c r="G61" s="18">
        <f t="shared" ref="G61:N61" si="33">G50+G60</f>
        <v>47.19</v>
      </c>
      <c r="H61" s="39">
        <f t="shared" si="33"/>
        <v>53.436000000000007</v>
      </c>
      <c r="I61" s="18">
        <f t="shared" si="33"/>
        <v>32.669999999999995</v>
      </c>
      <c r="J61" s="39">
        <f t="shared" si="33"/>
        <v>36.957000000000001</v>
      </c>
      <c r="K61" s="18">
        <f t="shared" si="33"/>
        <v>219.05500000000001</v>
      </c>
      <c r="L61" s="39">
        <f t="shared" si="33"/>
        <v>242.29399999999998</v>
      </c>
      <c r="M61" s="18">
        <f t="shared" si="33"/>
        <v>1359.0100000000002</v>
      </c>
      <c r="N61" s="41">
        <f t="shared" si="33"/>
        <v>1515.5329999999999</v>
      </c>
    </row>
    <row r="62" spans="2:15" ht="21.75" customHeight="1" thickBot="1" x14ac:dyDescent="0.3">
      <c r="B62" s="52"/>
      <c r="C62" s="305" t="s">
        <v>48</v>
      </c>
      <c r="D62" s="305"/>
      <c r="E62" s="305"/>
      <c r="F62" s="305"/>
      <c r="G62" s="305"/>
      <c r="H62" s="305"/>
      <c r="I62" s="305"/>
      <c r="J62" s="305"/>
      <c r="K62" s="305"/>
      <c r="L62" s="305"/>
      <c r="M62" s="305"/>
      <c r="N62" s="305"/>
      <c r="O62" s="1"/>
    </row>
    <row r="63" spans="2:15" x14ac:dyDescent="0.25">
      <c r="B63" s="312" t="s">
        <v>26</v>
      </c>
      <c r="C63" s="313"/>
      <c r="D63" s="306" t="s">
        <v>27</v>
      </c>
      <c r="E63" s="307"/>
      <c r="F63" s="307"/>
      <c r="G63" s="307"/>
      <c r="H63" s="307"/>
      <c r="I63" s="307"/>
      <c r="J63" s="307"/>
      <c r="K63" s="307"/>
      <c r="L63" s="307"/>
      <c r="M63" s="307"/>
      <c r="N63" s="308"/>
    </row>
    <row r="64" spans="2:15" x14ac:dyDescent="0.25">
      <c r="B64" s="287"/>
      <c r="C64" s="288"/>
      <c r="D64" s="309" t="s">
        <v>38</v>
      </c>
      <c r="E64" s="310"/>
      <c r="F64" s="310"/>
      <c r="G64" s="310"/>
      <c r="H64" s="310"/>
      <c r="I64" s="310"/>
      <c r="J64" s="310"/>
      <c r="K64" s="310"/>
      <c r="L64" s="310"/>
      <c r="M64" s="310"/>
      <c r="N64" s="311"/>
    </row>
    <row r="65" spans="2:14" x14ac:dyDescent="0.25">
      <c r="B65" s="287" t="s">
        <v>28</v>
      </c>
      <c r="C65" s="288"/>
      <c r="D65" s="289" t="s">
        <v>29</v>
      </c>
      <c r="E65" s="290"/>
      <c r="F65" s="290"/>
      <c r="G65" s="290"/>
      <c r="H65" s="290"/>
      <c r="I65" s="290"/>
      <c r="J65" s="290"/>
      <c r="K65" s="290"/>
      <c r="L65" s="290"/>
      <c r="M65" s="290"/>
      <c r="N65" s="291"/>
    </row>
    <row r="66" spans="2:14" x14ac:dyDescent="0.25">
      <c r="B66" s="287"/>
      <c r="C66" s="288"/>
      <c r="D66" s="302" t="s">
        <v>30</v>
      </c>
      <c r="E66" s="303"/>
      <c r="F66" s="303"/>
      <c r="G66" s="303"/>
      <c r="H66" s="303"/>
      <c r="I66" s="303"/>
      <c r="J66" s="303"/>
      <c r="K66" s="303"/>
      <c r="L66" s="303"/>
      <c r="M66" s="303"/>
      <c r="N66" s="304"/>
    </row>
    <row r="67" spans="2:14" x14ac:dyDescent="0.25">
      <c r="B67" s="287" t="s">
        <v>31</v>
      </c>
      <c r="C67" s="288"/>
      <c r="D67" s="289" t="s">
        <v>29</v>
      </c>
      <c r="E67" s="290"/>
      <c r="F67" s="290"/>
      <c r="G67" s="290"/>
      <c r="H67" s="290"/>
      <c r="I67" s="290"/>
      <c r="J67" s="290"/>
      <c r="K67" s="290"/>
      <c r="L67" s="290"/>
      <c r="M67" s="290"/>
      <c r="N67" s="291"/>
    </row>
    <row r="68" spans="2:14" x14ac:dyDescent="0.25">
      <c r="B68" s="287"/>
      <c r="C68" s="288"/>
      <c r="D68" s="309" t="s">
        <v>32</v>
      </c>
      <c r="E68" s="310"/>
      <c r="F68" s="310"/>
      <c r="G68" s="310"/>
      <c r="H68" s="310"/>
      <c r="I68" s="310"/>
      <c r="J68" s="310"/>
      <c r="K68" s="310"/>
      <c r="L68" s="310"/>
      <c r="M68" s="310"/>
      <c r="N68" s="311"/>
    </row>
    <row r="69" spans="2:14" x14ac:dyDescent="0.25">
      <c r="B69" s="287" t="s">
        <v>196</v>
      </c>
      <c r="C69" s="288"/>
      <c r="D69" s="116" t="s">
        <v>197</v>
      </c>
      <c r="E69" s="10"/>
      <c r="F69" s="11"/>
      <c r="G69" s="11"/>
      <c r="H69" s="11"/>
      <c r="I69" s="11"/>
      <c r="J69" s="11"/>
      <c r="K69" s="11"/>
      <c r="L69" s="11"/>
      <c r="M69" s="11"/>
      <c r="N69" s="48"/>
    </row>
    <row r="70" spans="2:14" x14ac:dyDescent="0.25">
      <c r="B70" s="287"/>
      <c r="C70" s="288"/>
      <c r="D70" s="309" t="s">
        <v>198</v>
      </c>
      <c r="E70" s="310"/>
      <c r="F70" s="310"/>
      <c r="G70" s="310"/>
      <c r="H70" s="310"/>
      <c r="I70" s="310"/>
      <c r="J70" s="310"/>
      <c r="K70" s="310"/>
      <c r="L70" s="310"/>
      <c r="M70" s="310"/>
      <c r="N70" s="311"/>
    </row>
    <row r="71" spans="2:14" x14ac:dyDescent="0.25">
      <c r="B71" s="292" t="s">
        <v>35</v>
      </c>
      <c r="C71" s="293"/>
      <c r="D71" s="296" t="s">
        <v>36</v>
      </c>
      <c r="E71" s="297"/>
      <c r="F71" s="297"/>
      <c r="G71" s="297"/>
      <c r="H71" s="297"/>
      <c r="I71" s="297"/>
      <c r="J71" s="297"/>
      <c r="K71" s="297"/>
      <c r="L71" s="297"/>
      <c r="M71" s="297"/>
      <c r="N71" s="298"/>
    </row>
    <row r="72" spans="2:14" ht="15.75" thickBot="1" x14ac:dyDescent="0.3">
      <c r="B72" s="294"/>
      <c r="C72" s="295"/>
      <c r="D72" s="299" t="s">
        <v>37</v>
      </c>
      <c r="E72" s="300"/>
      <c r="F72" s="300"/>
      <c r="G72" s="300"/>
      <c r="H72" s="300"/>
      <c r="I72" s="300"/>
      <c r="J72" s="300"/>
      <c r="K72" s="300"/>
      <c r="L72" s="300"/>
      <c r="M72" s="300"/>
      <c r="N72" s="301"/>
    </row>
    <row r="73" spans="2:14" x14ac:dyDescent="0.25">
      <c r="D73" s="1"/>
    </row>
    <row r="74" spans="2:14" x14ac:dyDescent="0.25">
      <c r="D74" s="1"/>
      <c r="E74" s="15" t="s">
        <v>24</v>
      </c>
    </row>
    <row r="75" spans="2:14" x14ac:dyDescent="0.25">
      <c r="E75" s="15" t="s">
        <v>24</v>
      </c>
      <c r="F75" s="1"/>
    </row>
    <row r="83" spans="10:10" x14ac:dyDescent="0.25">
      <c r="J83" s="1"/>
    </row>
  </sheetData>
  <mergeCells count="34">
    <mergeCell ref="B71:C72"/>
    <mergeCell ref="D71:N71"/>
    <mergeCell ref="D72:N72"/>
    <mergeCell ref="B6:B24"/>
    <mergeCell ref="D66:N66"/>
    <mergeCell ref="C62:N62"/>
    <mergeCell ref="D63:N63"/>
    <mergeCell ref="D64:N64"/>
    <mergeCell ref="B63:C64"/>
    <mergeCell ref="C6:N6"/>
    <mergeCell ref="C13:N13"/>
    <mergeCell ref="D67:N67"/>
    <mergeCell ref="D68:N68"/>
    <mergeCell ref="D70:N70"/>
    <mergeCell ref="B65:C66"/>
    <mergeCell ref="B67:C68"/>
    <mergeCell ref="B69:C70"/>
    <mergeCell ref="D65:N65"/>
    <mergeCell ref="M3:N4"/>
    <mergeCell ref="G4:H4"/>
    <mergeCell ref="I4:J4"/>
    <mergeCell ref="K4:L4"/>
    <mergeCell ref="G3:L3"/>
    <mergeCell ref="C25:N25"/>
    <mergeCell ref="B25:B43"/>
    <mergeCell ref="C32:N32"/>
    <mergeCell ref="B44:B61"/>
    <mergeCell ref="C44:N44"/>
    <mergeCell ref="C51:N51"/>
    <mergeCell ref="B2:E2"/>
    <mergeCell ref="B3:B5"/>
    <mergeCell ref="C3:C5"/>
    <mergeCell ref="D3:D5"/>
    <mergeCell ref="E3:F4"/>
  </mergeCells>
  <pageMargins left="0.23622047244094491" right="0.23622047244094491" top="0.19685039370078741" bottom="0.19685039370078741" header="0.31496062992125984" footer="0.31496062992125984"/>
  <pageSetup paperSize="9" scale="69" fitToHeight="0" orientation="portrait" horizontalDpi="180" verticalDpi="180" r:id="rId1"/>
  <ignoredErrors>
    <ignoredError sqref="I8:J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сводная 2025г</vt:lpstr>
      <vt:lpstr>сводная 2025г (2)</vt:lpstr>
      <vt:lpstr>1-2-3 день</vt:lpstr>
      <vt:lpstr>4-5-6 день</vt:lpstr>
      <vt:lpstr>7-8-9 день</vt:lpstr>
      <vt:lpstr>10-11-12 день</vt:lpstr>
      <vt:lpstr>'10-11-12 день'!Область_печати</vt:lpstr>
      <vt:lpstr>'1-2-3 день'!Область_печати</vt:lpstr>
      <vt:lpstr>'4-5-6 день'!Область_печати</vt:lpstr>
      <vt:lpstr>'7-8-9 день'!Область_печати</vt:lpstr>
      <vt:lpstr>'сводная 2025г'!Область_печати</vt:lpstr>
      <vt:lpstr>'сводная 2025г (2)'!Область_печати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2025-06-04T08:17:52Z</dcterms:modified>
</cp:coreProperties>
</file>